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externalLinks/externalLink195.xml" ContentType="application/vnd.openxmlformats-officedocument.spreadsheetml.externalLink+xml"/>
  <Override PartName="/xl/externalLinks/externalLink196.xml" ContentType="application/vnd.openxmlformats-officedocument.spreadsheetml.externalLink+xml"/>
  <Override PartName="/xl/externalLinks/externalLink197.xml" ContentType="application/vnd.openxmlformats-officedocument.spreadsheetml.externalLink+xml"/>
  <Override PartName="/xl/externalLinks/externalLink198.xml" ContentType="application/vnd.openxmlformats-officedocument.spreadsheetml.externalLink+xml"/>
  <Override PartName="/xl/externalLinks/externalLink199.xml" ContentType="application/vnd.openxmlformats-officedocument.spreadsheetml.externalLink+xml"/>
  <Override PartName="/xl/externalLinks/externalLink200.xml" ContentType="application/vnd.openxmlformats-officedocument.spreadsheetml.externalLink+xml"/>
  <Override PartName="/xl/externalLinks/externalLink201.xml" ContentType="application/vnd.openxmlformats-officedocument.spreadsheetml.externalLink+xml"/>
  <Override PartName="/xl/externalLinks/externalLink202.xml" ContentType="application/vnd.openxmlformats-officedocument.spreadsheetml.externalLink+xml"/>
  <Override PartName="/xl/externalLinks/externalLink203.xml" ContentType="application/vnd.openxmlformats-officedocument.spreadsheetml.externalLink+xml"/>
  <Override PartName="/xl/externalLinks/externalLink204.xml" ContentType="application/vnd.openxmlformats-officedocument.spreadsheetml.externalLink+xml"/>
  <Override PartName="/xl/externalLinks/externalLink205.xml" ContentType="application/vnd.openxmlformats-officedocument.spreadsheetml.externalLink+xml"/>
  <Override PartName="/xl/externalLinks/externalLink206.xml" ContentType="application/vnd.openxmlformats-officedocument.spreadsheetml.externalLink+xml"/>
  <Override PartName="/xl/externalLinks/externalLink207.xml" ContentType="application/vnd.openxmlformats-officedocument.spreadsheetml.externalLink+xml"/>
  <Override PartName="/xl/externalLinks/externalLink208.xml" ContentType="application/vnd.openxmlformats-officedocument.spreadsheetml.externalLink+xml"/>
  <Override PartName="/xl/externalLinks/externalLink209.xml" ContentType="application/vnd.openxmlformats-officedocument.spreadsheetml.externalLink+xml"/>
  <Override PartName="/xl/externalLinks/externalLink210.xml" ContentType="application/vnd.openxmlformats-officedocument.spreadsheetml.externalLink+xml"/>
  <Override PartName="/xl/externalLinks/externalLink211.xml" ContentType="application/vnd.openxmlformats-officedocument.spreadsheetml.externalLink+xml"/>
  <Override PartName="/xl/externalLinks/externalLink212.xml" ContentType="application/vnd.openxmlformats-officedocument.spreadsheetml.externalLink+xml"/>
  <Override PartName="/xl/externalLinks/externalLink213.xml" ContentType="application/vnd.openxmlformats-officedocument.spreadsheetml.externalLink+xml"/>
  <Override PartName="/xl/externalLinks/externalLink214.xml" ContentType="application/vnd.openxmlformats-officedocument.spreadsheetml.externalLink+xml"/>
  <Override PartName="/xl/externalLinks/externalLink215.xml" ContentType="application/vnd.openxmlformats-officedocument.spreadsheetml.externalLink+xml"/>
  <Override PartName="/xl/externalLinks/externalLink216.xml" ContentType="application/vnd.openxmlformats-officedocument.spreadsheetml.externalLink+xml"/>
  <Override PartName="/xl/externalLinks/externalLink217.xml" ContentType="application/vnd.openxmlformats-officedocument.spreadsheetml.externalLink+xml"/>
  <Override PartName="/xl/externalLinks/externalLink218.xml" ContentType="application/vnd.openxmlformats-officedocument.spreadsheetml.externalLink+xml"/>
  <Override PartName="/xl/externalLinks/externalLink219.xml" ContentType="application/vnd.openxmlformats-officedocument.spreadsheetml.externalLink+xml"/>
  <Override PartName="/xl/externalLinks/externalLink220.xml" ContentType="application/vnd.openxmlformats-officedocument.spreadsheetml.externalLink+xml"/>
  <Override PartName="/xl/externalLinks/externalLink221.xml" ContentType="application/vnd.openxmlformats-officedocument.spreadsheetml.externalLink+xml"/>
  <Override PartName="/xl/externalLinks/externalLink222.xml" ContentType="application/vnd.openxmlformats-officedocument.spreadsheetml.externalLink+xml"/>
  <Override PartName="/xl/externalLinks/externalLink223.xml" ContentType="application/vnd.openxmlformats-officedocument.spreadsheetml.externalLink+xml"/>
  <Override PartName="/xl/externalLinks/externalLink224.xml" ContentType="application/vnd.openxmlformats-officedocument.spreadsheetml.externalLink+xml"/>
  <Override PartName="/xl/externalLinks/externalLink225.xml" ContentType="application/vnd.openxmlformats-officedocument.spreadsheetml.externalLink+xml"/>
  <Override PartName="/xl/externalLinks/externalLink226.xml" ContentType="application/vnd.openxmlformats-officedocument.spreadsheetml.externalLink+xml"/>
  <Override PartName="/xl/externalLinks/externalLink227.xml" ContentType="application/vnd.openxmlformats-officedocument.spreadsheetml.externalLink+xml"/>
  <Override PartName="/xl/externalLinks/externalLink228.xml" ContentType="application/vnd.openxmlformats-officedocument.spreadsheetml.externalLink+xml"/>
  <Override PartName="/xl/externalLinks/externalLink229.xml" ContentType="application/vnd.openxmlformats-officedocument.spreadsheetml.externalLink+xml"/>
  <Override PartName="/xl/externalLinks/externalLink230.xml" ContentType="application/vnd.openxmlformats-officedocument.spreadsheetml.externalLink+xml"/>
  <Override PartName="/xl/externalLinks/externalLink231.xml" ContentType="application/vnd.openxmlformats-officedocument.spreadsheetml.externalLink+xml"/>
  <Override PartName="/xl/externalLinks/externalLink232.xml" ContentType="application/vnd.openxmlformats-officedocument.spreadsheetml.externalLink+xml"/>
  <Override PartName="/xl/externalLinks/externalLink233.xml" ContentType="application/vnd.openxmlformats-officedocument.spreadsheetml.externalLink+xml"/>
  <Override PartName="/xl/externalLinks/externalLink234.xml" ContentType="application/vnd.openxmlformats-officedocument.spreadsheetml.externalLink+xml"/>
  <Override PartName="/xl/externalLinks/externalLink235.xml" ContentType="application/vnd.openxmlformats-officedocument.spreadsheetml.externalLink+xml"/>
  <Override PartName="/xl/externalLinks/externalLink236.xml" ContentType="application/vnd.openxmlformats-officedocument.spreadsheetml.externalLink+xml"/>
  <Override PartName="/xl/externalLinks/externalLink237.xml" ContentType="application/vnd.openxmlformats-officedocument.spreadsheetml.externalLink+xml"/>
  <Override PartName="/xl/externalLinks/externalLink238.xml" ContentType="application/vnd.openxmlformats-officedocument.spreadsheetml.externalLink+xml"/>
  <Override PartName="/xl/externalLinks/externalLink239.xml" ContentType="application/vnd.openxmlformats-officedocument.spreadsheetml.externalLink+xml"/>
  <Override PartName="/xl/externalLinks/externalLink240.xml" ContentType="application/vnd.openxmlformats-officedocument.spreadsheetml.externalLink+xml"/>
  <Override PartName="/xl/externalLinks/externalLink241.xml" ContentType="application/vnd.openxmlformats-officedocument.spreadsheetml.externalLink+xml"/>
  <Override PartName="/xl/externalLinks/externalLink242.xml" ContentType="application/vnd.openxmlformats-officedocument.spreadsheetml.externalLink+xml"/>
  <Override PartName="/xl/externalLinks/externalLink243.xml" ContentType="application/vnd.openxmlformats-officedocument.spreadsheetml.externalLink+xml"/>
  <Override PartName="/xl/externalLinks/externalLink244.xml" ContentType="application/vnd.openxmlformats-officedocument.spreadsheetml.externalLink+xml"/>
  <Override PartName="/xl/externalLinks/externalLink245.xml" ContentType="application/vnd.openxmlformats-officedocument.spreadsheetml.externalLink+xml"/>
  <Override PartName="/xl/externalLinks/externalLink246.xml" ContentType="application/vnd.openxmlformats-officedocument.spreadsheetml.externalLink+xml"/>
  <Override PartName="/xl/externalLinks/externalLink247.xml" ContentType="application/vnd.openxmlformats-officedocument.spreadsheetml.externalLink+xml"/>
  <Override PartName="/xl/externalLinks/externalLink248.xml" ContentType="application/vnd.openxmlformats-officedocument.spreadsheetml.externalLink+xml"/>
  <Override PartName="/xl/externalLinks/externalLink249.xml" ContentType="application/vnd.openxmlformats-officedocument.spreadsheetml.externalLink+xml"/>
  <Override PartName="/xl/externalLinks/externalLink250.xml" ContentType="application/vnd.openxmlformats-officedocument.spreadsheetml.externalLink+xml"/>
  <Override PartName="/xl/externalLinks/externalLink251.xml" ContentType="application/vnd.openxmlformats-officedocument.spreadsheetml.externalLink+xml"/>
  <Override PartName="/xl/externalLinks/externalLink252.xml" ContentType="application/vnd.openxmlformats-officedocument.spreadsheetml.externalLink+xml"/>
  <Override PartName="/xl/externalLinks/externalLink253.xml" ContentType="application/vnd.openxmlformats-officedocument.spreadsheetml.externalLink+xml"/>
  <Override PartName="/xl/externalLinks/externalLink254.xml" ContentType="application/vnd.openxmlformats-officedocument.spreadsheetml.externalLink+xml"/>
  <Override PartName="/xl/externalLinks/externalLink255.xml" ContentType="application/vnd.openxmlformats-officedocument.spreadsheetml.externalLink+xml"/>
  <Override PartName="/xl/externalLinks/externalLink256.xml" ContentType="application/vnd.openxmlformats-officedocument.spreadsheetml.externalLink+xml"/>
  <Override PartName="/xl/externalLinks/externalLink257.xml" ContentType="application/vnd.openxmlformats-officedocument.spreadsheetml.externalLink+xml"/>
  <Override PartName="/xl/externalLinks/externalLink258.xml" ContentType="application/vnd.openxmlformats-officedocument.spreadsheetml.externalLink+xml"/>
  <Override PartName="/xl/externalLinks/externalLink259.xml" ContentType="application/vnd.openxmlformats-officedocument.spreadsheetml.externalLink+xml"/>
  <Override PartName="/xl/externalLinks/externalLink260.xml" ContentType="application/vnd.openxmlformats-officedocument.spreadsheetml.externalLink+xml"/>
  <Override PartName="/xl/externalLinks/externalLink261.xml" ContentType="application/vnd.openxmlformats-officedocument.spreadsheetml.externalLink+xml"/>
  <Override PartName="/xl/externalLinks/externalLink262.xml" ContentType="application/vnd.openxmlformats-officedocument.spreadsheetml.externalLink+xml"/>
  <Override PartName="/xl/externalLinks/externalLink263.xml" ContentType="application/vnd.openxmlformats-officedocument.spreadsheetml.externalLink+xml"/>
  <Override PartName="/xl/externalLinks/externalLink264.xml" ContentType="application/vnd.openxmlformats-officedocument.spreadsheetml.externalLink+xml"/>
  <Override PartName="/xl/externalLinks/externalLink265.xml" ContentType="application/vnd.openxmlformats-officedocument.spreadsheetml.externalLink+xml"/>
  <Override PartName="/xl/externalLinks/externalLink266.xml" ContentType="application/vnd.openxmlformats-officedocument.spreadsheetml.externalLink+xml"/>
  <Override PartName="/xl/externalLinks/externalLink267.xml" ContentType="application/vnd.openxmlformats-officedocument.spreadsheetml.externalLink+xml"/>
  <Override PartName="/xl/externalLinks/externalLink268.xml" ContentType="application/vnd.openxmlformats-officedocument.spreadsheetml.externalLink+xml"/>
  <Override PartName="/xl/externalLinks/externalLink269.xml" ContentType="application/vnd.openxmlformats-officedocument.spreadsheetml.externalLink+xml"/>
  <Override PartName="/xl/externalLinks/externalLink270.xml" ContentType="application/vnd.openxmlformats-officedocument.spreadsheetml.externalLink+xml"/>
  <Override PartName="/xl/externalLinks/externalLink271.xml" ContentType="application/vnd.openxmlformats-officedocument.spreadsheetml.externalLink+xml"/>
  <Override PartName="/xl/externalLinks/externalLink272.xml" ContentType="application/vnd.openxmlformats-officedocument.spreadsheetml.externalLink+xml"/>
  <Override PartName="/xl/externalLinks/externalLink273.xml" ContentType="application/vnd.openxmlformats-officedocument.spreadsheetml.externalLink+xml"/>
  <Override PartName="/xl/externalLinks/externalLink274.xml" ContentType="application/vnd.openxmlformats-officedocument.spreadsheetml.externalLink+xml"/>
  <Override PartName="/xl/externalLinks/externalLink275.xml" ContentType="application/vnd.openxmlformats-officedocument.spreadsheetml.externalLink+xml"/>
  <Override PartName="/xl/externalLinks/externalLink276.xml" ContentType="application/vnd.openxmlformats-officedocument.spreadsheetml.externalLink+xml"/>
  <Override PartName="/xl/externalLinks/externalLink277.xml" ContentType="application/vnd.openxmlformats-officedocument.spreadsheetml.externalLink+xml"/>
  <Override PartName="/xl/externalLinks/externalLink278.xml" ContentType="application/vnd.openxmlformats-officedocument.spreadsheetml.externalLink+xml"/>
  <Override PartName="/xl/externalLinks/externalLink279.xml" ContentType="application/vnd.openxmlformats-officedocument.spreadsheetml.externalLink+xml"/>
  <Override PartName="/xl/externalLinks/externalLink280.xml" ContentType="application/vnd.openxmlformats-officedocument.spreadsheetml.externalLink+xml"/>
  <Override PartName="/xl/externalLinks/externalLink281.xml" ContentType="application/vnd.openxmlformats-officedocument.spreadsheetml.externalLink+xml"/>
  <Override PartName="/xl/externalLinks/externalLink282.xml" ContentType="application/vnd.openxmlformats-officedocument.spreadsheetml.externalLink+xml"/>
  <Override PartName="/xl/externalLinks/externalLink283.xml" ContentType="application/vnd.openxmlformats-officedocument.spreadsheetml.externalLink+xml"/>
  <Override PartName="/xl/externalLinks/externalLink284.xml" ContentType="application/vnd.openxmlformats-officedocument.spreadsheetml.externalLink+xml"/>
  <Override PartName="/xl/externalLinks/externalLink285.xml" ContentType="application/vnd.openxmlformats-officedocument.spreadsheetml.externalLink+xml"/>
  <Override PartName="/xl/externalLinks/externalLink286.xml" ContentType="application/vnd.openxmlformats-officedocument.spreadsheetml.externalLink+xml"/>
  <Override PartName="/xl/externalLinks/externalLink287.xml" ContentType="application/vnd.openxmlformats-officedocument.spreadsheetml.externalLink+xml"/>
  <Override PartName="/xl/externalLinks/externalLink288.xml" ContentType="application/vnd.openxmlformats-officedocument.spreadsheetml.externalLink+xml"/>
  <Override PartName="/xl/externalLinks/externalLink289.xml" ContentType="application/vnd.openxmlformats-officedocument.spreadsheetml.externalLink+xml"/>
  <Override PartName="/xl/externalLinks/externalLink290.xml" ContentType="application/vnd.openxmlformats-officedocument.spreadsheetml.externalLink+xml"/>
  <Override PartName="/xl/externalLinks/externalLink291.xml" ContentType="application/vnd.openxmlformats-officedocument.spreadsheetml.externalLink+xml"/>
  <Override PartName="/xl/externalLinks/externalLink292.xml" ContentType="application/vnd.openxmlformats-officedocument.spreadsheetml.externalLink+xml"/>
  <Override PartName="/xl/externalLinks/externalLink293.xml" ContentType="application/vnd.openxmlformats-officedocument.spreadsheetml.externalLink+xml"/>
  <Override PartName="/xl/externalLinks/externalLink294.xml" ContentType="application/vnd.openxmlformats-officedocument.spreadsheetml.externalLink+xml"/>
  <Override PartName="/xl/externalLinks/externalLink295.xml" ContentType="application/vnd.openxmlformats-officedocument.spreadsheetml.externalLink+xml"/>
  <Override PartName="/xl/externalLinks/externalLink296.xml" ContentType="application/vnd.openxmlformats-officedocument.spreadsheetml.externalLink+xml"/>
  <Override PartName="/xl/externalLinks/externalLink297.xml" ContentType="application/vnd.openxmlformats-officedocument.spreadsheetml.externalLink+xml"/>
  <Override PartName="/xl/externalLinks/externalLink298.xml" ContentType="application/vnd.openxmlformats-officedocument.spreadsheetml.externalLink+xml"/>
  <Override PartName="/xl/externalLinks/externalLink299.xml" ContentType="application/vnd.openxmlformats-officedocument.spreadsheetml.externalLink+xml"/>
  <Override PartName="/xl/externalLinks/externalLink300.xml" ContentType="application/vnd.openxmlformats-officedocument.spreadsheetml.externalLink+xml"/>
  <Override PartName="/xl/externalLinks/externalLink301.xml" ContentType="application/vnd.openxmlformats-officedocument.spreadsheetml.externalLink+xml"/>
  <Override PartName="/xl/externalLinks/externalLink302.xml" ContentType="application/vnd.openxmlformats-officedocument.spreadsheetml.externalLink+xml"/>
  <Override PartName="/xl/externalLinks/externalLink303.xml" ContentType="application/vnd.openxmlformats-officedocument.spreadsheetml.externalLink+xml"/>
  <Override PartName="/xl/externalLinks/externalLink304.xml" ContentType="application/vnd.openxmlformats-officedocument.spreadsheetml.externalLink+xml"/>
  <Override PartName="/xl/externalLinks/externalLink305.xml" ContentType="application/vnd.openxmlformats-officedocument.spreadsheetml.externalLink+xml"/>
  <Override PartName="/xl/externalLinks/externalLink306.xml" ContentType="application/vnd.openxmlformats-officedocument.spreadsheetml.externalLink+xml"/>
  <Override PartName="/xl/externalLinks/externalLink307.xml" ContentType="application/vnd.openxmlformats-officedocument.spreadsheetml.externalLink+xml"/>
  <Override PartName="/xl/externalLinks/externalLink308.xml" ContentType="application/vnd.openxmlformats-officedocument.spreadsheetml.externalLink+xml"/>
  <Override PartName="/xl/externalLinks/externalLink309.xml" ContentType="application/vnd.openxmlformats-officedocument.spreadsheetml.externalLink+xml"/>
  <Override PartName="/xl/externalLinks/externalLink310.xml" ContentType="application/vnd.openxmlformats-officedocument.spreadsheetml.externalLink+xml"/>
  <Override PartName="/xl/externalLinks/externalLink311.xml" ContentType="application/vnd.openxmlformats-officedocument.spreadsheetml.externalLink+xml"/>
  <Override PartName="/xl/externalLinks/externalLink312.xml" ContentType="application/vnd.openxmlformats-officedocument.spreadsheetml.externalLink+xml"/>
  <Override PartName="/xl/externalLinks/externalLink313.xml" ContentType="application/vnd.openxmlformats-officedocument.spreadsheetml.externalLink+xml"/>
  <Override PartName="/xl/externalLinks/externalLink314.xml" ContentType="application/vnd.openxmlformats-officedocument.spreadsheetml.externalLink+xml"/>
  <Override PartName="/xl/externalLinks/externalLink315.xml" ContentType="application/vnd.openxmlformats-officedocument.spreadsheetml.externalLink+xml"/>
  <Override PartName="/xl/externalLinks/externalLink316.xml" ContentType="application/vnd.openxmlformats-officedocument.spreadsheetml.externalLink+xml"/>
  <Override PartName="/xl/externalLinks/externalLink317.xml" ContentType="application/vnd.openxmlformats-officedocument.spreadsheetml.externalLink+xml"/>
  <Override PartName="/xl/externalLinks/externalLink318.xml" ContentType="application/vnd.openxmlformats-officedocument.spreadsheetml.externalLink+xml"/>
  <Override PartName="/xl/externalLinks/externalLink319.xml" ContentType="application/vnd.openxmlformats-officedocument.spreadsheetml.externalLink+xml"/>
  <Override PartName="/xl/externalLinks/externalLink320.xml" ContentType="application/vnd.openxmlformats-officedocument.spreadsheetml.externalLink+xml"/>
  <Override PartName="/xl/externalLinks/externalLink321.xml" ContentType="application/vnd.openxmlformats-officedocument.spreadsheetml.externalLink+xml"/>
  <Override PartName="/xl/externalLinks/externalLink322.xml" ContentType="application/vnd.openxmlformats-officedocument.spreadsheetml.externalLink+xml"/>
  <Override PartName="/xl/externalLinks/externalLink323.xml" ContentType="application/vnd.openxmlformats-officedocument.spreadsheetml.externalLink+xml"/>
  <Override PartName="/xl/externalLinks/externalLink324.xml" ContentType="application/vnd.openxmlformats-officedocument.spreadsheetml.externalLink+xml"/>
  <Override PartName="/xl/externalLinks/externalLink325.xml" ContentType="application/vnd.openxmlformats-officedocument.spreadsheetml.externalLink+xml"/>
  <Override PartName="/xl/externalLinks/externalLink326.xml" ContentType="application/vnd.openxmlformats-officedocument.spreadsheetml.externalLink+xml"/>
  <Override PartName="/xl/externalLinks/externalLink327.xml" ContentType="application/vnd.openxmlformats-officedocument.spreadsheetml.externalLink+xml"/>
  <Override PartName="/xl/externalLinks/externalLink328.xml" ContentType="application/vnd.openxmlformats-officedocument.spreadsheetml.externalLink+xml"/>
  <Override PartName="/xl/externalLinks/externalLink329.xml" ContentType="application/vnd.openxmlformats-officedocument.spreadsheetml.externalLink+xml"/>
  <Override PartName="/xl/externalLinks/externalLink330.xml" ContentType="application/vnd.openxmlformats-officedocument.spreadsheetml.externalLink+xml"/>
  <Override PartName="/xl/externalLinks/externalLink331.xml" ContentType="application/vnd.openxmlformats-officedocument.spreadsheetml.externalLink+xml"/>
  <Override PartName="/xl/externalLinks/externalLink332.xml" ContentType="application/vnd.openxmlformats-officedocument.spreadsheetml.externalLink+xml"/>
  <Override PartName="/xl/externalLinks/externalLink333.xml" ContentType="application/vnd.openxmlformats-officedocument.spreadsheetml.externalLink+xml"/>
  <Override PartName="/xl/externalLinks/externalLink334.xml" ContentType="application/vnd.openxmlformats-officedocument.spreadsheetml.externalLink+xml"/>
  <Override PartName="/xl/externalLinks/externalLink335.xml" ContentType="application/vnd.openxmlformats-officedocument.spreadsheetml.externalLink+xml"/>
  <Override PartName="/xl/externalLinks/externalLink336.xml" ContentType="application/vnd.openxmlformats-officedocument.spreadsheetml.externalLink+xml"/>
  <Override PartName="/xl/externalLinks/externalLink337.xml" ContentType="application/vnd.openxmlformats-officedocument.spreadsheetml.externalLink+xml"/>
  <Override PartName="/xl/externalLinks/externalLink338.xml" ContentType="application/vnd.openxmlformats-officedocument.spreadsheetml.externalLink+xml"/>
  <Override PartName="/xl/externalLinks/externalLink339.xml" ContentType="application/vnd.openxmlformats-officedocument.spreadsheetml.externalLink+xml"/>
  <Override PartName="/xl/externalLinks/externalLink340.xml" ContentType="application/vnd.openxmlformats-officedocument.spreadsheetml.externalLink+xml"/>
  <Override PartName="/xl/externalLinks/externalLink341.xml" ContentType="application/vnd.openxmlformats-officedocument.spreadsheetml.externalLink+xml"/>
  <Override PartName="/xl/externalLinks/externalLink342.xml" ContentType="application/vnd.openxmlformats-officedocument.spreadsheetml.externalLink+xml"/>
  <Override PartName="/xl/externalLinks/externalLink343.xml" ContentType="application/vnd.openxmlformats-officedocument.spreadsheetml.externalLink+xml"/>
  <Override PartName="/xl/externalLinks/externalLink344.xml" ContentType="application/vnd.openxmlformats-officedocument.spreadsheetml.externalLink+xml"/>
  <Override PartName="/xl/externalLinks/externalLink345.xml" ContentType="application/vnd.openxmlformats-officedocument.spreadsheetml.externalLink+xml"/>
  <Override PartName="/xl/externalLinks/externalLink346.xml" ContentType="application/vnd.openxmlformats-officedocument.spreadsheetml.externalLink+xml"/>
  <Override PartName="/xl/externalLinks/externalLink347.xml" ContentType="application/vnd.openxmlformats-officedocument.spreadsheetml.externalLink+xml"/>
  <Override PartName="/xl/externalLinks/externalLink348.xml" ContentType="application/vnd.openxmlformats-officedocument.spreadsheetml.externalLink+xml"/>
  <Override PartName="/xl/externalLinks/externalLink349.xml" ContentType="application/vnd.openxmlformats-officedocument.spreadsheetml.externalLink+xml"/>
  <Override PartName="/xl/externalLinks/externalLink350.xml" ContentType="application/vnd.openxmlformats-officedocument.spreadsheetml.externalLink+xml"/>
  <Override PartName="/xl/externalLinks/externalLink351.xml" ContentType="application/vnd.openxmlformats-officedocument.spreadsheetml.externalLink+xml"/>
  <Override PartName="/xl/externalLinks/externalLink352.xml" ContentType="application/vnd.openxmlformats-officedocument.spreadsheetml.externalLink+xml"/>
  <Override PartName="/xl/externalLinks/externalLink353.xml" ContentType="application/vnd.openxmlformats-officedocument.spreadsheetml.externalLink+xml"/>
  <Override PartName="/xl/externalLinks/externalLink354.xml" ContentType="application/vnd.openxmlformats-officedocument.spreadsheetml.externalLink+xml"/>
  <Override PartName="/xl/externalLinks/externalLink355.xml" ContentType="application/vnd.openxmlformats-officedocument.spreadsheetml.externalLink+xml"/>
  <Override PartName="/xl/externalLinks/externalLink356.xml" ContentType="application/vnd.openxmlformats-officedocument.spreadsheetml.externalLink+xml"/>
  <Override PartName="/xl/externalLinks/externalLink357.xml" ContentType="application/vnd.openxmlformats-officedocument.spreadsheetml.externalLink+xml"/>
  <Override PartName="/xl/externalLinks/externalLink358.xml" ContentType="application/vnd.openxmlformats-officedocument.spreadsheetml.externalLink+xml"/>
  <Override PartName="/xl/externalLinks/externalLink359.xml" ContentType="application/vnd.openxmlformats-officedocument.spreadsheetml.externalLink+xml"/>
  <Override PartName="/xl/externalLinks/externalLink360.xml" ContentType="application/vnd.openxmlformats-officedocument.spreadsheetml.externalLink+xml"/>
  <Override PartName="/xl/externalLinks/externalLink361.xml" ContentType="application/vnd.openxmlformats-officedocument.spreadsheetml.externalLink+xml"/>
  <Override PartName="/xl/externalLinks/externalLink362.xml" ContentType="application/vnd.openxmlformats-officedocument.spreadsheetml.externalLink+xml"/>
  <Override PartName="/xl/externalLinks/externalLink363.xml" ContentType="application/vnd.openxmlformats-officedocument.spreadsheetml.externalLink+xml"/>
  <Override PartName="/xl/externalLinks/externalLink364.xml" ContentType="application/vnd.openxmlformats-officedocument.spreadsheetml.externalLink+xml"/>
  <Override PartName="/xl/externalLinks/externalLink365.xml" ContentType="application/vnd.openxmlformats-officedocument.spreadsheetml.externalLink+xml"/>
  <Override PartName="/xl/externalLinks/externalLink366.xml" ContentType="application/vnd.openxmlformats-officedocument.spreadsheetml.externalLink+xml"/>
  <Override PartName="/xl/externalLinks/externalLink367.xml" ContentType="application/vnd.openxmlformats-officedocument.spreadsheetml.externalLink+xml"/>
  <Override PartName="/xl/externalLinks/externalLink368.xml" ContentType="application/vnd.openxmlformats-officedocument.spreadsheetml.externalLink+xml"/>
  <Override PartName="/xl/externalLinks/externalLink369.xml" ContentType="application/vnd.openxmlformats-officedocument.spreadsheetml.externalLink+xml"/>
  <Override PartName="/xl/externalLinks/externalLink370.xml" ContentType="application/vnd.openxmlformats-officedocument.spreadsheetml.externalLink+xml"/>
  <Override PartName="/xl/externalLinks/externalLink371.xml" ContentType="application/vnd.openxmlformats-officedocument.spreadsheetml.externalLink+xml"/>
  <Override PartName="/xl/externalLinks/externalLink372.xml" ContentType="application/vnd.openxmlformats-officedocument.spreadsheetml.externalLink+xml"/>
  <Override PartName="/xl/externalLinks/externalLink373.xml" ContentType="application/vnd.openxmlformats-officedocument.spreadsheetml.externalLink+xml"/>
  <Override PartName="/xl/externalLinks/externalLink374.xml" ContentType="application/vnd.openxmlformats-officedocument.spreadsheetml.externalLink+xml"/>
  <Override PartName="/xl/externalLinks/externalLink375.xml" ContentType="application/vnd.openxmlformats-officedocument.spreadsheetml.externalLink+xml"/>
  <Override PartName="/xl/externalLinks/externalLink376.xml" ContentType="application/vnd.openxmlformats-officedocument.spreadsheetml.externalLink+xml"/>
  <Override PartName="/xl/externalLinks/externalLink377.xml" ContentType="application/vnd.openxmlformats-officedocument.spreadsheetml.externalLink+xml"/>
  <Override PartName="/xl/externalLinks/externalLink378.xml" ContentType="application/vnd.openxmlformats-officedocument.spreadsheetml.externalLink+xml"/>
  <Override PartName="/xl/externalLinks/externalLink379.xml" ContentType="application/vnd.openxmlformats-officedocument.spreadsheetml.externalLink+xml"/>
  <Override PartName="/xl/externalLinks/externalLink380.xml" ContentType="application/vnd.openxmlformats-officedocument.spreadsheetml.externalLink+xml"/>
  <Override PartName="/xl/externalLinks/externalLink381.xml" ContentType="application/vnd.openxmlformats-officedocument.spreadsheetml.externalLink+xml"/>
  <Override PartName="/xl/externalLinks/externalLink382.xml" ContentType="application/vnd.openxmlformats-officedocument.spreadsheetml.externalLink+xml"/>
  <Override PartName="/xl/externalLinks/externalLink383.xml" ContentType="application/vnd.openxmlformats-officedocument.spreadsheetml.externalLink+xml"/>
  <Override PartName="/xl/externalLinks/externalLink384.xml" ContentType="application/vnd.openxmlformats-officedocument.spreadsheetml.externalLink+xml"/>
  <Override PartName="/xl/externalLinks/externalLink38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214"/>
  <workbookPr codeName="EstaPasta_de_trabalho" defaultThemeVersion="124226"/>
  <mc:AlternateContent xmlns:mc="http://schemas.openxmlformats.org/markup-compatibility/2006">
    <mc:Choice Requires="x15">
      <x15ac:absPath xmlns:x15ac="http://schemas.microsoft.com/office/spreadsheetml/2010/11/ac" url="D:\TempUserProfiles\NetworkService\AppData\Local\Temp\OICE_16_974FA576_32C1D314_3E9A\"/>
    </mc:Choice>
  </mc:AlternateContent>
  <bookViews>
    <workbookView xWindow="7200" yWindow="3930" windowWidth="8100" windowHeight="6735" xr2:uid="{00000000-000D-0000-FFFF-FFFF00000000}"/>
  </bookViews>
  <sheets>
    <sheet name="Plan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 r:id="rId198"/>
    <externalReference r:id="rId199"/>
    <externalReference r:id="rId200"/>
    <externalReference r:id="rId201"/>
    <externalReference r:id="rId202"/>
    <externalReference r:id="rId203"/>
    <externalReference r:id="rId204"/>
    <externalReference r:id="rId205"/>
    <externalReference r:id="rId206"/>
    <externalReference r:id="rId207"/>
    <externalReference r:id="rId208"/>
    <externalReference r:id="rId209"/>
    <externalReference r:id="rId210"/>
    <externalReference r:id="rId211"/>
    <externalReference r:id="rId212"/>
    <externalReference r:id="rId213"/>
    <externalReference r:id="rId214"/>
    <externalReference r:id="rId215"/>
    <externalReference r:id="rId216"/>
    <externalReference r:id="rId217"/>
    <externalReference r:id="rId218"/>
    <externalReference r:id="rId219"/>
    <externalReference r:id="rId220"/>
    <externalReference r:id="rId221"/>
    <externalReference r:id="rId222"/>
    <externalReference r:id="rId223"/>
    <externalReference r:id="rId224"/>
    <externalReference r:id="rId225"/>
    <externalReference r:id="rId226"/>
    <externalReference r:id="rId227"/>
    <externalReference r:id="rId228"/>
    <externalReference r:id="rId229"/>
    <externalReference r:id="rId230"/>
    <externalReference r:id="rId231"/>
    <externalReference r:id="rId232"/>
    <externalReference r:id="rId233"/>
    <externalReference r:id="rId234"/>
    <externalReference r:id="rId235"/>
    <externalReference r:id="rId236"/>
    <externalReference r:id="rId237"/>
    <externalReference r:id="rId238"/>
    <externalReference r:id="rId239"/>
    <externalReference r:id="rId240"/>
    <externalReference r:id="rId241"/>
    <externalReference r:id="rId242"/>
    <externalReference r:id="rId243"/>
    <externalReference r:id="rId244"/>
    <externalReference r:id="rId245"/>
    <externalReference r:id="rId246"/>
    <externalReference r:id="rId247"/>
    <externalReference r:id="rId248"/>
    <externalReference r:id="rId249"/>
    <externalReference r:id="rId250"/>
    <externalReference r:id="rId251"/>
    <externalReference r:id="rId252"/>
    <externalReference r:id="rId253"/>
    <externalReference r:id="rId254"/>
    <externalReference r:id="rId255"/>
    <externalReference r:id="rId256"/>
    <externalReference r:id="rId257"/>
    <externalReference r:id="rId258"/>
    <externalReference r:id="rId259"/>
    <externalReference r:id="rId260"/>
    <externalReference r:id="rId261"/>
    <externalReference r:id="rId262"/>
    <externalReference r:id="rId263"/>
    <externalReference r:id="rId264"/>
    <externalReference r:id="rId265"/>
    <externalReference r:id="rId266"/>
    <externalReference r:id="rId267"/>
    <externalReference r:id="rId268"/>
    <externalReference r:id="rId269"/>
    <externalReference r:id="rId270"/>
    <externalReference r:id="rId271"/>
    <externalReference r:id="rId272"/>
    <externalReference r:id="rId273"/>
    <externalReference r:id="rId274"/>
    <externalReference r:id="rId275"/>
    <externalReference r:id="rId276"/>
    <externalReference r:id="rId277"/>
    <externalReference r:id="rId278"/>
    <externalReference r:id="rId279"/>
    <externalReference r:id="rId280"/>
    <externalReference r:id="rId281"/>
    <externalReference r:id="rId282"/>
    <externalReference r:id="rId283"/>
    <externalReference r:id="rId284"/>
    <externalReference r:id="rId285"/>
    <externalReference r:id="rId286"/>
    <externalReference r:id="rId287"/>
    <externalReference r:id="rId288"/>
    <externalReference r:id="rId289"/>
    <externalReference r:id="rId290"/>
    <externalReference r:id="rId291"/>
    <externalReference r:id="rId292"/>
    <externalReference r:id="rId293"/>
    <externalReference r:id="rId294"/>
    <externalReference r:id="rId295"/>
    <externalReference r:id="rId296"/>
    <externalReference r:id="rId297"/>
    <externalReference r:id="rId298"/>
    <externalReference r:id="rId299"/>
    <externalReference r:id="rId300"/>
    <externalReference r:id="rId301"/>
    <externalReference r:id="rId302"/>
    <externalReference r:id="rId303"/>
    <externalReference r:id="rId304"/>
    <externalReference r:id="rId305"/>
    <externalReference r:id="rId306"/>
    <externalReference r:id="rId307"/>
    <externalReference r:id="rId308"/>
    <externalReference r:id="rId309"/>
    <externalReference r:id="rId310"/>
    <externalReference r:id="rId311"/>
    <externalReference r:id="rId312"/>
    <externalReference r:id="rId313"/>
    <externalReference r:id="rId314"/>
    <externalReference r:id="rId315"/>
    <externalReference r:id="rId316"/>
    <externalReference r:id="rId317"/>
    <externalReference r:id="rId318"/>
    <externalReference r:id="rId319"/>
    <externalReference r:id="rId320"/>
    <externalReference r:id="rId321"/>
    <externalReference r:id="rId322"/>
    <externalReference r:id="rId323"/>
    <externalReference r:id="rId324"/>
    <externalReference r:id="rId325"/>
    <externalReference r:id="rId326"/>
    <externalReference r:id="rId327"/>
    <externalReference r:id="rId328"/>
    <externalReference r:id="rId329"/>
    <externalReference r:id="rId330"/>
    <externalReference r:id="rId331"/>
    <externalReference r:id="rId332"/>
    <externalReference r:id="rId333"/>
    <externalReference r:id="rId334"/>
    <externalReference r:id="rId335"/>
    <externalReference r:id="rId336"/>
    <externalReference r:id="rId337"/>
    <externalReference r:id="rId338"/>
    <externalReference r:id="rId339"/>
    <externalReference r:id="rId340"/>
    <externalReference r:id="rId341"/>
    <externalReference r:id="rId342"/>
    <externalReference r:id="rId343"/>
    <externalReference r:id="rId344"/>
    <externalReference r:id="rId345"/>
    <externalReference r:id="rId346"/>
    <externalReference r:id="rId347"/>
    <externalReference r:id="rId348"/>
    <externalReference r:id="rId349"/>
    <externalReference r:id="rId350"/>
    <externalReference r:id="rId351"/>
    <externalReference r:id="rId352"/>
    <externalReference r:id="rId353"/>
    <externalReference r:id="rId354"/>
    <externalReference r:id="rId355"/>
    <externalReference r:id="rId356"/>
    <externalReference r:id="rId357"/>
    <externalReference r:id="rId358"/>
    <externalReference r:id="rId359"/>
    <externalReference r:id="rId360"/>
    <externalReference r:id="rId361"/>
    <externalReference r:id="rId362"/>
    <externalReference r:id="rId363"/>
    <externalReference r:id="rId364"/>
    <externalReference r:id="rId365"/>
    <externalReference r:id="rId366"/>
    <externalReference r:id="rId367"/>
    <externalReference r:id="rId368"/>
    <externalReference r:id="rId369"/>
    <externalReference r:id="rId370"/>
    <externalReference r:id="rId371"/>
    <externalReference r:id="rId372"/>
    <externalReference r:id="rId373"/>
    <externalReference r:id="rId374"/>
    <externalReference r:id="rId375"/>
    <externalReference r:id="rId376"/>
    <externalReference r:id="rId377"/>
    <externalReference r:id="rId378"/>
    <externalReference r:id="rId379"/>
    <externalReference r:id="rId380"/>
    <externalReference r:id="rId381"/>
    <externalReference r:id="rId382"/>
    <externalReference r:id="rId383"/>
    <externalReference r:id="rId384"/>
    <externalReference r:id="rId385"/>
    <externalReference r:id="rId386"/>
  </externalReferences>
  <definedNames>
    <definedName name="_xlnm.Print_Area" localSheetId="0">Plan1!$A$1:$AY$50</definedName>
  </definedNames>
  <calcPr calcId="171026"/>
</workbook>
</file>

<file path=xl/calcChain.xml><?xml version="1.0" encoding="utf-8"?>
<calcChain xmlns="http://schemas.openxmlformats.org/spreadsheetml/2006/main">
  <c r="AK11" i="1" l="1"/>
  <c r="AI11" i="1"/>
  <c r="AG11" i="1"/>
  <c r="AE11" i="1"/>
  <c r="AC11" i="1"/>
  <c r="AA11" i="1"/>
  <c r="Y11" i="1"/>
  <c r="W11" i="1"/>
  <c r="U11" i="1"/>
  <c r="S11" i="1"/>
  <c r="Q11" i="1"/>
  <c r="O11" i="1"/>
  <c r="M11" i="1"/>
  <c r="K11" i="1"/>
  <c r="I11" i="1"/>
  <c r="G11" i="1"/>
  <c r="E11" i="1"/>
  <c r="C11" i="1"/>
  <c r="AO11" i="1"/>
  <c r="AM11" i="1"/>
  <c r="AS11" i="1"/>
  <c r="AQ11" i="1"/>
  <c r="AW18" i="1"/>
  <c r="AU18" i="1"/>
  <c r="AV18" i="1"/>
  <c r="AW11" i="1"/>
  <c r="AU11" i="1"/>
  <c r="AV11" i="1"/>
  <c r="AW34" i="1"/>
  <c r="AU34" i="1"/>
  <c r="AV34" i="1"/>
  <c r="AV44" i="1"/>
  <c r="AV43" i="1"/>
  <c r="AV42" i="1"/>
  <c r="AV22" i="1"/>
  <c r="AW9" i="1"/>
  <c r="AU9" i="1"/>
  <c r="AV9" i="1"/>
  <c r="AW17" i="1"/>
  <c r="AU17" i="1"/>
  <c r="AV17" i="1"/>
  <c r="AU12" i="1"/>
  <c r="AV12" i="1"/>
  <c r="AW7" i="1"/>
  <c r="AU7" i="1"/>
  <c r="AV7" i="1"/>
  <c r="AW37" i="1"/>
  <c r="AU37" i="1"/>
  <c r="AV37" i="1"/>
  <c r="AW31" i="1"/>
  <c r="AU31" i="1"/>
  <c r="AV31" i="1"/>
  <c r="AW28" i="1"/>
  <c r="AU28" i="1"/>
  <c r="AV28" i="1"/>
  <c r="AU20" i="1"/>
  <c r="AV20" i="1"/>
  <c r="AW45" i="1"/>
  <c r="AU45" i="1"/>
  <c r="AV45" i="1"/>
  <c r="AW27" i="1"/>
  <c r="AU27" i="1"/>
  <c r="AV27" i="1"/>
  <c r="AW35" i="1"/>
  <c r="AU35" i="1"/>
  <c r="AV35" i="1"/>
  <c r="AW23" i="1"/>
  <c r="AU23" i="1"/>
  <c r="AV23" i="1"/>
  <c r="AW21" i="1"/>
  <c r="AU21" i="1"/>
  <c r="AV21" i="1"/>
  <c r="AW13" i="1"/>
  <c r="AU13" i="1"/>
  <c r="AV13" i="1"/>
  <c r="AW40" i="1"/>
  <c r="AU40" i="1"/>
  <c r="AV40" i="1"/>
  <c r="AW32" i="1"/>
  <c r="AU32" i="1"/>
  <c r="AV32" i="1"/>
  <c r="AW36" i="1"/>
  <c r="AU36" i="1"/>
  <c r="AV36" i="1"/>
  <c r="AW10" i="1"/>
  <c r="AU10" i="1"/>
  <c r="AV10" i="1"/>
  <c r="AW8" i="1"/>
  <c r="AU8" i="1"/>
  <c r="AV8" i="1"/>
  <c r="AW39" i="1"/>
  <c r="AU39" i="1"/>
  <c r="AV39" i="1"/>
  <c r="AW24" i="1"/>
  <c r="AU24" i="1"/>
  <c r="AV24" i="1"/>
  <c r="AW19" i="1"/>
  <c r="AU19" i="1"/>
  <c r="AV19" i="1"/>
  <c r="AU30" i="1"/>
  <c r="AV30" i="1"/>
  <c r="AW38" i="1"/>
  <c r="AU38" i="1"/>
  <c r="AV38" i="1"/>
  <c r="AW29" i="1"/>
  <c r="AU29" i="1"/>
  <c r="AV29" i="1"/>
  <c r="AW14" i="1"/>
  <c r="AU14" i="1"/>
  <c r="AV14" i="1"/>
  <c r="AW41" i="1"/>
  <c r="AU41" i="1"/>
  <c r="AV41" i="1"/>
  <c r="AW5" i="1"/>
  <c r="AU5" i="1"/>
  <c r="AV5" i="1"/>
  <c r="AW6" i="1"/>
  <c r="AU6" i="1"/>
  <c r="AV6" i="1"/>
  <c r="AW33" i="1"/>
  <c r="AU33" i="1"/>
  <c r="AV33" i="1"/>
  <c r="AW25" i="1"/>
  <c r="AU25" i="1"/>
  <c r="AV25" i="1"/>
  <c r="AW16" i="1"/>
  <c r="AU16" i="1"/>
  <c r="AU15" i="1"/>
  <c r="AM34" i="1"/>
  <c r="AN34" i="1"/>
  <c r="AR42" i="1"/>
  <c r="AR44" i="1"/>
  <c r="AR43" i="1"/>
  <c r="AR28" i="1"/>
  <c r="AR24" i="1"/>
  <c r="AR22" i="1"/>
  <c r="AS31" i="1"/>
  <c r="AQ31" i="1"/>
  <c r="AR31" i="1"/>
  <c r="AS17" i="1"/>
  <c r="AQ17" i="1"/>
  <c r="AR17" i="1"/>
  <c r="AQ12" i="1"/>
  <c r="AS23" i="1"/>
  <c r="AQ23" i="1"/>
  <c r="AR23" i="1"/>
  <c r="AS7" i="1"/>
  <c r="AQ7" i="1"/>
  <c r="AS27" i="1"/>
  <c r="AQ27" i="1"/>
  <c r="AR27" i="1"/>
  <c r="AS37" i="1"/>
  <c r="AQ37" i="1"/>
  <c r="AR37" i="1"/>
  <c r="AS45" i="1"/>
  <c r="AQ45" i="1"/>
  <c r="AR45" i="1"/>
  <c r="AQ20" i="1"/>
  <c r="AR20" i="1"/>
  <c r="AS36" i="1"/>
  <c r="AQ36" i="1"/>
  <c r="AR36" i="1"/>
  <c r="AS21" i="1"/>
  <c r="AQ21" i="1"/>
  <c r="AR21" i="1"/>
  <c r="AS35" i="1"/>
  <c r="AQ35" i="1"/>
  <c r="AR35" i="1"/>
  <c r="AS13" i="1"/>
  <c r="AQ13" i="1"/>
  <c r="AS40" i="1"/>
  <c r="AQ40" i="1"/>
  <c r="AR40" i="1"/>
  <c r="AS39" i="1"/>
  <c r="AQ39" i="1"/>
  <c r="AR39" i="1"/>
  <c r="AS32" i="1"/>
  <c r="AQ32" i="1"/>
  <c r="AR32" i="1"/>
  <c r="AS19" i="1"/>
  <c r="AW20" i="1"/>
  <c r="AW26" i="1"/>
  <c r="AQ19" i="1"/>
  <c r="AR19" i="1"/>
  <c r="AS10" i="1"/>
  <c r="AQ10" i="1"/>
  <c r="AS38" i="1"/>
  <c r="AQ38" i="1"/>
  <c r="AR38" i="1"/>
  <c r="AS8" i="1"/>
  <c r="AQ8" i="1"/>
  <c r="AS34" i="1"/>
  <c r="AQ34" i="1"/>
  <c r="AR34" i="1"/>
  <c r="AQ30" i="1"/>
  <c r="AR30" i="1"/>
  <c r="AS29" i="1"/>
  <c r="AQ29" i="1"/>
  <c r="AR29" i="1"/>
  <c r="AS5" i="1"/>
  <c r="AQ5" i="1"/>
  <c r="AS41" i="1"/>
  <c r="AQ41" i="1"/>
  <c r="AR41" i="1"/>
  <c r="AS14" i="1"/>
  <c r="AQ14" i="1"/>
  <c r="AS9" i="1"/>
  <c r="AQ9" i="1"/>
  <c r="AS16" i="1"/>
  <c r="AQ16" i="1"/>
  <c r="AR16" i="1"/>
  <c r="AS25" i="1"/>
  <c r="AQ25" i="1"/>
  <c r="AR25" i="1"/>
  <c r="AS6" i="1"/>
  <c r="AQ6" i="1"/>
  <c r="AS33" i="1"/>
  <c r="AQ33" i="1"/>
  <c r="AR33" i="1"/>
  <c r="AQ15" i="1"/>
  <c r="AO28" i="1"/>
  <c r="AM28" i="1"/>
  <c r="AN28" i="1"/>
  <c r="AN43" i="1"/>
  <c r="AN44" i="1"/>
  <c r="AN42" i="1"/>
  <c r="AN22" i="1"/>
  <c r="AO31" i="1"/>
  <c r="AM31" i="1"/>
  <c r="AN31" i="1"/>
  <c r="AM8" i="1"/>
  <c r="AN8" i="1"/>
  <c r="AO17" i="1"/>
  <c r="AM17" i="1"/>
  <c r="AN17" i="1"/>
  <c r="AO8" i="1"/>
  <c r="AM12" i="1"/>
  <c r="AN12" i="1"/>
  <c r="AO23" i="1"/>
  <c r="AM23" i="1"/>
  <c r="AN23" i="1"/>
  <c r="AO7" i="1"/>
  <c r="AM7" i="1"/>
  <c r="AN7" i="1"/>
  <c r="AO27" i="1"/>
  <c r="AM27" i="1"/>
  <c r="AN27" i="1"/>
  <c r="AO37" i="1"/>
  <c r="AM37" i="1"/>
  <c r="AN37" i="1"/>
  <c r="AO13" i="1"/>
  <c r="AM13" i="1"/>
  <c r="AN13" i="1"/>
  <c r="AO45" i="1"/>
  <c r="AM45" i="1"/>
  <c r="AN45" i="1"/>
  <c r="AO36" i="1"/>
  <c r="AM36" i="1"/>
  <c r="AN36" i="1"/>
  <c r="AO21" i="1"/>
  <c r="AM21" i="1"/>
  <c r="AN21" i="1"/>
  <c r="AO35" i="1"/>
  <c r="AM35" i="1"/>
  <c r="AN35" i="1"/>
  <c r="AO32" i="1"/>
  <c r="AM32" i="1"/>
  <c r="AN32" i="1"/>
  <c r="AO39" i="1"/>
  <c r="AM39" i="1"/>
  <c r="AN39" i="1"/>
  <c r="AO40" i="1"/>
  <c r="AM40" i="1"/>
  <c r="AN40" i="1"/>
  <c r="AO34" i="1"/>
  <c r="AO19" i="1"/>
  <c r="AM19" i="1"/>
  <c r="AN19" i="1"/>
  <c r="AO41" i="1"/>
  <c r="AM41" i="1"/>
  <c r="AN41" i="1"/>
  <c r="AO14" i="1"/>
  <c r="AM14" i="1"/>
  <c r="AN14" i="1"/>
  <c r="AO24" i="1"/>
  <c r="AM24" i="1"/>
  <c r="AN24" i="1"/>
  <c r="AN11" i="1"/>
  <c r="AO38" i="1"/>
  <c r="AM38" i="1"/>
  <c r="AN38" i="1"/>
  <c r="AO29" i="1"/>
  <c r="AM29" i="1"/>
  <c r="AN29" i="1"/>
  <c r="AM20" i="1"/>
  <c r="AN20" i="1"/>
  <c r="AO9" i="1"/>
  <c r="AM9" i="1"/>
  <c r="AN9" i="1"/>
  <c r="AM30" i="1"/>
  <c r="AN30" i="1"/>
  <c r="AO5" i="1"/>
  <c r="AM5" i="1"/>
  <c r="AN5" i="1"/>
  <c r="AO33" i="1"/>
  <c r="AM33" i="1"/>
  <c r="AN33" i="1"/>
  <c r="AO16" i="1"/>
  <c r="AM16" i="1"/>
  <c r="AN16" i="1"/>
  <c r="AO25" i="1"/>
  <c r="AM25" i="1"/>
  <c r="AN25" i="1"/>
  <c r="AO10" i="1"/>
  <c r="AM10" i="1"/>
  <c r="AN10" i="1"/>
  <c r="AO6" i="1"/>
  <c r="AM6" i="1"/>
  <c r="AN6" i="1"/>
  <c r="W43" i="1"/>
  <c r="AI12" i="1"/>
  <c r="AI30" i="1"/>
  <c r="AI20" i="1"/>
  <c r="AJ34" i="1"/>
  <c r="AJ43" i="1"/>
  <c r="AJ44" i="1"/>
  <c r="AJ42" i="1"/>
  <c r="AJ22" i="1"/>
  <c r="AJ20" i="1"/>
  <c r="AJ30" i="1"/>
  <c r="AJ12" i="1"/>
  <c r="AK33" i="1"/>
  <c r="AI33" i="1"/>
  <c r="AJ33" i="1"/>
  <c r="AK45" i="1"/>
  <c r="AI45" i="1"/>
  <c r="AJ45" i="1"/>
  <c r="AK8" i="1"/>
  <c r="AI8" i="1"/>
  <c r="AJ8" i="1"/>
  <c r="AK28" i="1"/>
  <c r="AI28" i="1"/>
  <c r="AJ28" i="1"/>
  <c r="AK17" i="1"/>
  <c r="AI17" i="1"/>
  <c r="AJ17" i="1"/>
  <c r="AK37" i="1"/>
  <c r="AI37" i="1"/>
  <c r="AJ37" i="1"/>
  <c r="AK7" i="1"/>
  <c r="AI7" i="1"/>
  <c r="AJ7" i="1"/>
  <c r="AK31" i="1"/>
  <c r="AI31" i="1"/>
  <c r="AJ31" i="1"/>
  <c r="AK21" i="1"/>
  <c r="AI21" i="1"/>
  <c r="AJ21" i="1"/>
  <c r="AK35" i="1"/>
  <c r="AI35" i="1"/>
  <c r="AJ35" i="1"/>
  <c r="AK27" i="1"/>
  <c r="AI27" i="1"/>
  <c r="AJ27" i="1"/>
  <c r="AK36" i="1"/>
  <c r="AI36" i="1"/>
  <c r="AJ36" i="1"/>
  <c r="AK39" i="1"/>
  <c r="AI39" i="1"/>
  <c r="AJ39" i="1"/>
  <c r="AK32" i="1"/>
  <c r="AI32" i="1"/>
  <c r="AJ32" i="1"/>
  <c r="AK40" i="1"/>
  <c r="AI40" i="1"/>
  <c r="AJ40" i="1"/>
  <c r="AK13" i="1"/>
  <c r="AI13" i="1"/>
  <c r="AJ13" i="1"/>
  <c r="AJ11" i="1"/>
  <c r="AK10" i="1"/>
  <c r="AI10" i="1"/>
  <c r="AJ10" i="1"/>
  <c r="AK24" i="1"/>
  <c r="AI24" i="1"/>
  <c r="AJ24" i="1"/>
  <c r="AK19" i="1"/>
  <c r="AI19" i="1"/>
  <c r="AJ19" i="1"/>
  <c r="AK23" i="1"/>
  <c r="AI23" i="1"/>
  <c r="AJ23" i="1"/>
  <c r="AK38" i="1"/>
  <c r="AI38" i="1"/>
  <c r="AJ38" i="1"/>
  <c r="AK14" i="1"/>
  <c r="AI14" i="1"/>
  <c r="AJ14" i="1"/>
  <c r="AK29" i="1"/>
  <c r="AI29" i="1"/>
  <c r="AJ29" i="1"/>
  <c r="AK41" i="1"/>
  <c r="AI41" i="1"/>
  <c r="AJ41" i="1"/>
  <c r="AK5" i="1"/>
  <c r="AI5" i="1"/>
  <c r="AJ5" i="1"/>
  <c r="AK9" i="1"/>
  <c r="AI9" i="1"/>
  <c r="AJ9" i="1"/>
  <c r="AK16" i="1"/>
  <c r="AI16" i="1"/>
  <c r="AJ16" i="1"/>
  <c r="AK25" i="1"/>
  <c r="AI25" i="1"/>
  <c r="AJ25" i="1"/>
  <c r="AK6" i="1"/>
  <c r="AI6" i="1"/>
  <c r="AJ6" i="1"/>
  <c r="AG23" i="1"/>
  <c r="AE23" i="1"/>
  <c r="AF23" i="1"/>
  <c r="AG17" i="1"/>
  <c r="AE17" i="1"/>
  <c r="AF17" i="1"/>
  <c r="AG31" i="1"/>
  <c r="AE31" i="1"/>
  <c r="AF31" i="1"/>
  <c r="AG28" i="1"/>
  <c r="AE28" i="1"/>
  <c r="AF28" i="1"/>
  <c r="AE12" i="1"/>
  <c r="AF12" i="1"/>
  <c r="AG45" i="1"/>
  <c r="AE45" i="1"/>
  <c r="AF45" i="1"/>
  <c r="AG7" i="1"/>
  <c r="AE7" i="1"/>
  <c r="AF7" i="1"/>
  <c r="AE27" i="1"/>
  <c r="AF27" i="1"/>
  <c r="AG37" i="1"/>
  <c r="AE37" i="1"/>
  <c r="AF37" i="1"/>
  <c r="AG35" i="1"/>
  <c r="AE35" i="1"/>
  <c r="AF35" i="1"/>
  <c r="AG22" i="1"/>
  <c r="AE22" i="1"/>
  <c r="AF22" i="1"/>
  <c r="AG36" i="1"/>
  <c r="AE36" i="1"/>
  <c r="AF36" i="1"/>
  <c r="AG21" i="1"/>
  <c r="AE21" i="1"/>
  <c r="AF21" i="1"/>
  <c r="AE20" i="1"/>
  <c r="AF20" i="1"/>
  <c r="AG13" i="1"/>
  <c r="AE13" i="1"/>
  <c r="AF13" i="1"/>
  <c r="AG40" i="1"/>
  <c r="AE40" i="1"/>
  <c r="AF40" i="1"/>
  <c r="AG39" i="1"/>
  <c r="AE39" i="1"/>
  <c r="AF39" i="1"/>
  <c r="AG32" i="1"/>
  <c r="AE32" i="1"/>
  <c r="AF32" i="1"/>
  <c r="AG19" i="1"/>
  <c r="AE19" i="1"/>
  <c r="AF19" i="1"/>
  <c r="AG10" i="1"/>
  <c r="AE10" i="1"/>
  <c r="AF10" i="1"/>
  <c r="AF11" i="1"/>
  <c r="AG41" i="1"/>
  <c r="AE41" i="1"/>
  <c r="AF41" i="1"/>
  <c r="AG38" i="1"/>
  <c r="AE38" i="1"/>
  <c r="AF38" i="1"/>
  <c r="AG24" i="1"/>
  <c r="AE24" i="1"/>
  <c r="AF24" i="1"/>
  <c r="AE30" i="1"/>
  <c r="AF30" i="1"/>
  <c r="AG5" i="1"/>
  <c r="AE5" i="1"/>
  <c r="AF5" i="1"/>
  <c r="AG29" i="1"/>
  <c r="AE29" i="1"/>
  <c r="AF29" i="1"/>
  <c r="AG14" i="1"/>
  <c r="AE14" i="1"/>
  <c r="AF14" i="1"/>
  <c r="AG9" i="1"/>
  <c r="AE9" i="1"/>
  <c r="AF9" i="1"/>
  <c r="AG6" i="1"/>
  <c r="AE6" i="1"/>
  <c r="AF6" i="1"/>
  <c r="AG25" i="1"/>
  <c r="AE25" i="1"/>
  <c r="AG33" i="1"/>
  <c r="AE33" i="1"/>
  <c r="AF33" i="1"/>
  <c r="AG16" i="1"/>
  <c r="AE16" i="1"/>
  <c r="AE26" i="1"/>
  <c r="C5" i="1"/>
  <c r="D5" i="1"/>
  <c r="E5" i="1"/>
  <c r="G5" i="1"/>
  <c r="H5" i="1"/>
  <c r="I5" i="1"/>
  <c r="I7" i="1"/>
  <c r="I8" i="1"/>
  <c r="I9" i="1"/>
  <c r="I10" i="1"/>
  <c r="I12" i="1"/>
  <c r="I13" i="1"/>
  <c r="I14" i="1"/>
  <c r="I15" i="1"/>
  <c r="K5" i="1"/>
  <c r="L5" i="1"/>
  <c r="M5" i="1"/>
  <c r="O5" i="1"/>
  <c r="P5" i="1"/>
  <c r="Q5" i="1"/>
  <c r="Q7" i="1"/>
  <c r="Q8" i="1"/>
  <c r="Q9" i="1"/>
  <c r="Q10" i="1"/>
  <c r="Q12" i="1"/>
  <c r="Q13" i="1"/>
  <c r="Q14" i="1"/>
  <c r="Q15" i="1"/>
  <c r="S5" i="1"/>
  <c r="T5" i="1"/>
  <c r="U5" i="1"/>
  <c r="W5" i="1"/>
  <c r="X5" i="1"/>
  <c r="Y5" i="1"/>
  <c r="AA5" i="1"/>
  <c r="AB5" i="1"/>
  <c r="AC5" i="1"/>
  <c r="C9" i="1"/>
  <c r="D9" i="1"/>
  <c r="E9" i="1"/>
  <c r="G9" i="1"/>
  <c r="H9" i="1"/>
  <c r="K9" i="1"/>
  <c r="L9" i="1"/>
  <c r="M9" i="1"/>
  <c r="O9" i="1"/>
  <c r="P9" i="1"/>
  <c r="S9" i="1"/>
  <c r="T9" i="1"/>
  <c r="U9" i="1"/>
  <c r="W9" i="1"/>
  <c r="X9" i="1"/>
  <c r="Y9" i="1"/>
  <c r="AA9" i="1"/>
  <c r="AB9" i="1"/>
  <c r="AC9" i="1"/>
  <c r="C10" i="1"/>
  <c r="D10" i="1"/>
  <c r="E10" i="1"/>
  <c r="G10" i="1"/>
  <c r="H10" i="1"/>
  <c r="K10" i="1"/>
  <c r="L10" i="1"/>
  <c r="M10" i="1"/>
  <c r="O10" i="1"/>
  <c r="P10" i="1"/>
  <c r="S10" i="1"/>
  <c r="T10" i="1"/>
  <c r="U10" i="1"/>
  <c r="W10" i="1"/>
  <c r="X10" i="1"/>
  <c r="Y10" i="1"/>
  <c r="AA10" i="1"/>
  <c r="AB10" i="1"/>
  <c r="AC10" i="1"/>
  <c r="C7" i="1"/>
  <c r="D7" i="1"/>
  <c r="E7" i="1"/>
  <c r="G7" i="1"/>
  <c r="H7" i="1"/>
  <c r="K7" i="1"/>
  <c r="L7" i="1"/>
  <c r="M7" i="1"/>
  <c r="O7" i="1"/>
  <c r="P7" i="1"/>
  <c r="S7" i="1"/>
  <c r="T7" i="1"/>
  <c r="U7" i="1"/>
  <c r="W7" i="1"/>
  <c r="X7" i="1"/>
  <c r="Y7" i="1"/>
  <c r="AA7" i="1"/>
  <c r="AB7" i="1"/>
  <c r="AC7" i="1"/>
  <c r="C8" i="1"/>
  <c r="D8" i="1"/>
  <c r="E8" i="1"/>
  <c r="G8" i="1"/>
  <c r="H8" i="1"/>
  <c r="K8" i="1"/>
  <c r="L8" i="1"/>
  <c r="M8" i="1"/>
  <c r="O8" i="1"/>
  <c r="P8" i="1"/>
  <c r="S8" i="1"/>
  <c r="T8" i="1"/>
  <c r="U8" i="1"/>
  <c r="W8" i="1"/>
  <c r="X8" i="1"/>
  <c r="Y8" i="1"/>
  <c r="AA8" i="1"/>
  <c r="AB8" i="1"/>
  <c r="AC8" i="1"/>
  <c r="D11" i="1"/>
  <c r="H11" i="1"/>
  <c r="L11" i="1"/>
  <c r="P11" i="1"/>
  <c r="T11" i="1"/>
  <c r="X11" i="1"/>
  <c r="AB11" i="1"/>
  <c r="AA6" i="1"/>
  <c r="AB6" i="1"/>
  <c r="AC6" i="1"/>
  <c r="C12" i="1"/>
  <c r="D12" i="1"/>
  <c r="E12" i="1"/>
  <c r="G12" i="1"/>
  <c r="H12" i="1"/>
  <c r="K12" i="1"/>
  <c r="L12" i="1"/>
  <c r="M12" i="1"/>
  <c r="O12" i="1"/>
  <c r="P12" i="1"/>
  <c r="S12" i="1"/>
  <c r="T12" i="1"/>
  <c r="U12" i="1"/>
  <c r="W12" i="1"/>
  <c r="X12" i="1"/>
  <c r="Y12" i="1"/>
  <c r="AC12" i="1"/>
  <c r="C13" i="1"/>
  <c r="D13" i="1"/>
  <c r="E13" i="1"/>
  <c r="G13" i="1"/>
  <c r="H13" i="1"/>
  <c r="K13" i="1"/>
  <c r="L13" i="1"/>
  <c r="M13" i="1"/>
  <c r="O13" i="1"/>
  <c r="P13" i="1"/>
  <c r="S13" i="1"/>
  <c r="T13" i="1"/>
  <c r="U13" i="1"/>
  <c r="W13" i="1"/>
  <c r="X13" i="1"/>
  <c r="Y13" i="1"/>
  <c r="AA13" i="1"/>
  <c r="AB13" i="1"/>
  <c r="AC13" i="1"/>
  <c r="C16" i="1"/>
  <c r="D16" i="1"/>
  <c r="C17" i="1"/>
  <c r="D17" i="1"/>
  <c r="C19" i="1"/>
  <c r="D19" i="1"/>
  <c r="C22" i="1"/>
  <c r="D22" i="1"/>
  <c r="C23" i="1"/>
  <c r="D23" i="1"/>
  <c r="C24" i="1"/>
  <c r="D24" i="1"/>
  <c r="C25" i="1"/>
  <c r="D25" i="1"/>
  <c r="D26" i="1"/>
  <c r="E16" i="1"/>
  <c r="E17" i="1"/>
  <c r="E19" i="1"/>
  <c r="E22" i="1"/>
  <c r="E23" i="1"/>
  <c r="E24" i="1"/>
  <c r="E25" i="1"/>
  <c r="E26" i="1"/>
  <c r="G16" i="1"/>
  <c r="H16" i="1"/>
  <c r="G17" i="1"/>
  <c r="H17" i="1"/>
  <c r="G19" i="1"/>
  <c r="H19" i="1"/>
  <c r="G22" i="1"/>
  <c r="H22" i="1"/>
  <c r="G23" i="1"/>
  <c r="H23" i="1"/>
  <c r="G24" i="1"/>
  <c r="H24" i="1"/>
  <c r="G25" i="1"/>
  <c r="H25" i="1"/>
  <c r="H26" i="1"/>
  <c r="I16" i="1"/>
  <c r="I17" i="1"/>
  <c r="I19" i="1"/>
  <c r="I22" i="1"/>
  <c r="I23" i="1"/>
  <c r="I24" i="1"/>
  <c r="I25" i="1"/>
  <c r="I26" i="1"/>
  <c r="K16" i="1"/>
  <c r="L16" i="1"/>
  <c r="K17" i="1"/>
  <c r="L17" i="1"/>
  <c r="K19" i="1"/>
  <c r="L19" i="1"/>
  <c r="K22" i="1"/>
  <c r="L22" i="1"/>
  <c r="K23" i="1"/>
  <c r="L23" i="1"/>
  <c r="K24" i="1"/>
  <c r="L24" i="1"/>
  <c r="K25" i="1"/>
  <c r="L25" i="1"/>
  <c r="L26" i="1"/>
  <c r="M16" i="1"/>
  <c r="M17" i="1"/>
  <c r="M19" i="1"/>
  <c r="M22" i="1"/>
  <c r="M23" i="1"/>
  <c r="M24" i="1"/>
  <c r="M25" i="1"/>
  <c r="M26" i="1"/>
  <c r="O16" i="1"/>
  <c r="P16" i="1"/>
  <c r="O17" i="1"/>
  <c r="P17" i="1"/>
  <c r="O19" i="1"/>
  <c r="P19" i="1"/>
  <c r="O22" i="1"/>
  <c r="P22" i="1"/>
  <c r="O23" i="1"/>
  <c r="P23" i="1"/>
  <c r="O24" i="1"/>
  <c r="P24" i="1"/>
  <c r="O25" i="1"/>
  <c r="P25" i="1"/>
  <c r="P26" i="1"/>
  <c r="Q16" i="1"/>
  <c r="Q17" i="1"/>
  <c r="Q19" i="1"/>
  <c r="Q22" i="1"/>
  <c r="Q23" i="1"/>
  <c r="Q24" i="1"/>
  <c r="Q25" i="1"/>
  <c r="Q26" i="1"/>
  <c r="S16" i="1"/>
  <c r="T16" i="1"/>
  <c r="S17" i="1"/>
  <c r="T17" i="1"/>
  <c r="S19" i="1"/>
  <c r="T19" i="1"/>
  <c r="S20" i="1"/>
  <c r="T20" i="1"/>
  <c r="S22" i="1"/>
  <c r="T22" i="1"/>
  <c r="S23" i="1"/>
  <c r="T23" i="1"/>
  <c r="S24" i="1"/>
  <c r="T24" i="1"/>
  <c r="S25" i="1"/>
  <c r="T25" i="1"/>
  <c r="T26" i="1"/>
  <c r="U16" i="1"/>
  <c r="U17" i="1"/>
  <c r="U19" i="1"/>
  <c r="U22" i="1"/>
  <c r="U23" i="1"/>
  <c r="U24" i="1"/>
  <c r="U25" i="1"/>
  <c r="U26" i="1"/>
  <c r="W16" i="1"/>
  <c r="X16" i="1"/>
  <c r="Y16" i="1"/>
  <c r="AA16" i="1"/>
  <c r="AB16" i="1"/>
  <c r="AC16" i="1"/>
  <c r="W19" i="1"/>
  <c r="X19" i="1"/>
  <c r="Y19" i="1"/>
  <c r="AA19" i="1"/>
  <c r="AB19" i="1"/>
  <c r="AC19" i="1"/>
  <c r="C14" i="1"/>
  <c r="D14" i="1"/>
  <c r="E14" i="1"/>
  <c r="G14" i="1"/>
  <c r="H14" i="1"/>
  <c r="K14" i="1"/>
  <c r="L14" i="1"/>
  <c r="M14" i="1"/>
  <c r="O14" i="1"/>
  <c r="P14" i="1"/>
  <c r="S14" i="1"/>
  <c r="T14" i="1"/>
  <c r="U14" i="1"/>
  <c r="W14" i="1"/>
  <c r="X14" i="1"/>
  <c r="Y14" i="1"/>
  <c r="AA14" i="1"/>
  <c r="AB14" i="1"/>
  <c r="AC14" i="1"/>
  <c r="W17" i="1"/>
  <c r="X17" i="1"/>
  <c r="Y17" i="1"/>
  <c r="AA17" i="1"/>
  <c r="AB17" i="1"/>
  <c r="AC17" i="1"/>
  <c r="W22" i="1"/>
  <c r="X22" i="1"/>
  <c r="Y22" i="1"/>
  <c r="AA22" i="1"/>
  <c r="AB22" i="1"/>
  <c r="AC22" i="1"/>
  <c r="W23" i="1"/>
  <c r="X23" i="1"/>
  <c r="Y23" i="1"/>
  <c r="AA23" i="1"/>
  <c r="AB23" i="1"/>
  <c r="AC23" i="1"/>
  <c r="W25" i="1"/>
  <c r="X25" i="1"/>
  <c r="Y25" i="1"/>
  <c r="AA25" i="1"/>
  <c r="AB25" i="1"/>
  <c r="AC25" i="1"/>
  <c r="C30" i="1"/>
  <c r="D30" i="1"/>
  <c r="E30" i="1"/>
  <c r="G30" i="1"/>
  <c r="H30" i="1"/>
  <c r="I30" i="1"/>
  <c r="K30" i="1"/>
  <c r="L30" i="1"/>
  <c r="M30" i="1"/>
  <c r="O30" i="1"/>
  <c r="P30" i="1"/>
  <c r="Q30" i="1"/>
  <c r="S30" i="1"/>
  <c r="T30" i="1"/>
  <c r="U30" i="1"/>
  <c r="W30" i="1"/>
  <c r="X30" i="1"/>
  <c r="Y30" i="1"/>
  <c r="AC30" i="1"/>
  <c r="AG30" i="1"/>
  <c r="W20" i="1"/>
  <c r="X20" i="1"/>
  <c r="Y20" i="1"/>
  <c r="AC20" i="1"/>
  <c r="C27" i="1"/>
  <c r="D27" i="1"/>
  <c r="E27" i="1"/>
  <c r="G27" i="1"/>
  <c r="H27" i="1"/>
  <c r="I27" i="1"/>
  <c r="K27" i="1"/>
  <c r="L27" i="1"/>
  <c r="M27" i="1"/>
  <c r="O27" i="1"/>
  <c r="P27" i="1"/>
  <c r="Q27" i="1"/>
  <c r="S27" i="1"/>
  <c r="T27" i="1"/>
  <c r="U27" i="1"/>
  <c r="W27" i="1"/>
  <c r="X27" i="1"/>
  <c r="Y27" i="1"/>
  <c r="AC27" i="1"/>
  <c r="AG27" i="1"/>
  <c r="W21" i="1"/>
  <c r="X21" i="1"/>
  <c r="Y21" i="1"/>
  <c r="AA21" i="1"/>
  <c r="AB21" i="1"/>
  <c r="AC21" i="1"/>
  <c r="C33" i="1"/>
  <c r="D33" i="1"/>
  <c r="E33" i="1"/>
  <c r="G33" i="1"/>
  <c r="H33" i="1"/>
  <c r="I33" i="1"/>
  <c r="K33" i="1"/>
  <c r="L33" i="1"/>
  <c r="M33" i="1"/>
  <c r="O33" i="1"/>
  <c r="P33" i="1"/>
  <c r="Q33" i="1"/>
  <c r="S33" i="1"/>
  <c r="T33" i="1"/>
  <c r="U33" i="1"/>
  <c r="W33" i="1"/>
  <c r="X33" i="1"/>
  <c r="Y33" i="1"/>
  <c r="AA33" i="1"/>
  <c r="AB33" i="1"/>
  <c r="AC33" i="1"/>
  <c r="C31" i="1"/>
  <c r="D31" i="1"/>
  <c r="E31" i="1"/>
  <c r="G31" i="1"/>
  <c r="H31" i="1"/>
  <c r="I31" i="1"/>
  <c r="K31" i="1"/>
  <c r="L31" i="1"/>
  <c r="M31" i="1"/>
  <c r="O31" i="1"/>
  <c r="P31" i="1"/>
  <c r="Q31" i="1"/>
  <c r="S31" i="1"/>
  <c r="T31" i="1"/>
  <c r="U31" i="1"/>
  <c r="W31" i="1"/>
  <c r="X31" i="1"/>
  <c r="Y31" i="1"/>
  <c r="AA31" i="1"/>
  <c r="AB31" i="1"/>
  <c r="AC31" i="1"/>
  <c r="C32" i="1"/>
  <c r="D32" i="1"/>
  <c r="E32" i="1"/>
  <c r="G32" i="1"/>
  <c r="H32" i="1"/>
  <c r="I32" i="1"/>
  <c r="K32" i="1"/>
  <c r="L32" i="1"/>
  <c r="M32" i="1"/>
  <c r="O32" i="1"/>
  <c r="P32" i="1"/>
  <c r="Q32" i="1"/>
  <c r="S32" i="1"/>
  <c r="T32" i="1"/>
  <c r="U32" i="1"/>
  <c r="W32" i="1"/>
  <c r="X32" i="1"/>
  <c r="Y32" i="1"/>
  <c r="AA32" i="1"/>
  <c r="AB32" i="1"/>
  <c r="AC32" i="1"/>
  <c r="W24" i="1"/>
  <c r="X24" i="1"/>
  <c r="Y24" i="1"/>
  <c r="AA24" i="1"/>
  <c r="AB24" i="1"/>
  <c r="AC24" i="1"/>
  <c r="C28" i="1"/>
  <c r="D28" i="1"/>
  <c r="E28" i="1"/>
  <c r="G28" i="1"/>
  <c r="H28" i="1"/>
  <c r="I28" i="1"/>
  <c r="K28" i="1"/>
  <c r="L28" i="1"/>
  <c r="M28" i="1"/>
  <c r="O28" i="1"/>
  <c r="P28" i="1"/>
  <c r="Q28" i="1"/>
  <c r="S28" i="1"/>
  <c r="T28" i="1"/>
  <c r="U28" i="1"/>
  <c r="W28" i="1"/>
  <c r="X28" i="1"/>
  <c r="Y28" i="1"/>
  <c r="AA28" i="1"/>
  <c r="AB28" i="1"/>
  <c r="AC28" i="1"/>
  <c r="C34" i="1"/>
  <c r="D34" i="1"/>
  <c r="E34" i="1"/>
  <c r="G34" i="1"/>
  <c r="H34" i="1"/>
  <c r="I34" i="1"/>
  <c r="K34" i="1"/>
  <c r="L34" i="1"/>
  <c r="M34" i="1"/>
  <c r="O34" i="1"/>
  <c r="P34" i="1"/>
  <c r="Q34" i="1"/>
  <c r="S34" i="1"/>
  <c r="T34" i="1"/>
  <c r="U34" i="1"/>
  <c r="W34" i="1"/>
  <c r="X34" i="1"/>
  <c r="Y34" i="1"/>
  <c r="C35" i="1"/>
  <c r="D35" i="1"/>
  <c r="E35" i="1"/>
  <c r="G35" i="1"/>
  <c r="H35" i="1"/>
  <c r="I35" i="1"/>
  <c r="K35" i="1"/>
  <c r="L35" i="1"/>
  <c r="M35" i="1"/>
  <c r="O35" i="1"/>
  <c r="P35" i="1"/>
  <c r="Q35" i="1"/>
  <c r="S35" i="1"/>
  <c r="T35" i="1"/>
  <c r="U35" i="1"/>
  <c r="W35" i="1"/>
  <c r="X35" i="1"/>
  <c r="Y35" i="1"/>
  <c r="AA35" i="1"/>
  <c r="AB35" i="1"/>
  <c r="AC35" i="1"/>
  <c r="W29" i="1"/>
  <c r="X29" i="1"/>
  <c r="Y29" i="1"/>
  <c r="AA29" i="1"/>
  <c r="AB29" i="1"/>
  <c r="AC29" i="1"/>
  <c r="C36" i="1"/>
  <c r="D36" i="1"/>
  <c r="E36" i="1"/>
  <c r="G36" i="1"/>
  <c r="H36" i="1"/>
  <c r="I36" i="1"/>
  <c r="K36" i="1"/>
  <c r="L36" i="1"/>
  <c r="M36" i="1"/>
  <c r="O36" i="1"/>
  <c r="P36" i="1"/>
  <c r="Q36" i="1"/>
  <c r="S36" i="1"/>
  <c r="T36" i="1"/>
  <c r="U36" i="1"/>
  <c r="W36" i="1"/>
  <c r="X36" i="1"/>
  <c r="Y36" i="1"/>
  <c r="AA36" i="1"/>
  <c r="AB36" i="1"/>
  <c r="AC36" i="1"/>
  <c r="C37" i="1"/>
  <c r="D37" i="1"/>
  <c r="E37" i="1"/>
  <c r="G37" i="1"/>
  <c r="H37" i="1"/>
  <c r="I37" i="1"/>
  <c r="K37" i="1"/>
  <c r="L37" i="1"/>
  <c r="M37" i="1"/>
  <c r="O37" i="1"/>
  <c r="P37" i="1"/>
  <c r="Q37" i="1"/>
  <c r="S37" i="1"/>
  <c r="T37" i="1"/>
  <c r="U37" i="1"/>
  <c r="W37" i="1"/>
  <c r="X37" i="1"/>
  <c r="Y37" i="1"/>
  <c r="AA37" i="1"/>
  <c r="AB37" i="1"/>
  <c r="AC37" i="1"/>
  <c r="C44" i="1"/>
  <c r="D44" i="1"/>
  <c r="E44" i="1"/>
  <c r="G44" i="1"/>
  <c r="H44" i="1"/>
  <c r="I44" i="1"/>
  <c r="L44" i="1"/>
  <c r="M44" i="1"/>
  <c r="O44" i="1"/>
  <c r="P44" i="1"/>
  <c r="Q44" i="1"/>
  <c r="S44" i="1"/>
  <c r="T44" i="1"/>
  <c r="U44" i="1"/>
  <c r="W44" i="1"/>
  <c r="X44" i="1"/>
  <c r="Y44" i="1"/>
  <c r="AB44" i="1"/>
  <c r="C39" i="1"/>
  <c r="D39" i="1"/>
  <c r="E39" i="1"/>
  <c r="G39" i="1"/>
  <c r="H39" i="1"/>
  <c r="I39" i="1"/>
  <c r="K39" i="1"/>
  <c r="L39" i="1"/>
  <c r="M39" i="1"/>
  <c r="O39" i="1"/>
  <c r="P39" i="1"/>
  <c r="Q39" i="1"/>
  <c r="S39" i="1"/>
  <c r="T39" i="1"/>
  <c r="U39" i="1"/>
  <c r="W39" i="1"/>
  <c r="X39" i="1"/>
  <c r="Y39" i="1"/>
  <c r="AA39" i="1"/>
  <c r="AB39" i="1"/>
  <c r="AC39" i="1"/>
  <c r="C40" i="1"/>
  <c r="D40" i="1"/>
  <c r="E40" i="1"/>
  <c r="G40" i="1"/>
  <c r="H40" i="1"/>
  <c r="I40" i="1"/>
  <c r="K40" i="1"/>
  <c r="L40" i="1"/>
  <c r="M40" i="1"/>
  <c r="O40" i="1"/>
  <c r="P40" i="1"/>
  <c r="Q40" i="1"/>
  <c r="S40" i="1"/>
  <c r="T40" i="1"/>
  <c r="U40" i="1"/>
  <c r="W40" i="1"/>
  <c r="X40" i="1"/>
  <c r="Y40" i="1"/>
  <c r="AA40" i="1"/>
  <c r="AB40" i="1"/>
  <c r="AC40" i="1"/>
  <c r="C43" i="1"/>
  <c r="D43" i="1"/>
  <c r="E43" i="1"/>
  <c r="G43" i="1"/>
  <c r="H43" i="1"/>
  <c r="I43" i="1"/>
  <c r="K43" i="1"/>
  <c r="L43" i="1"/>
  <c r="M43" i="1"/>
  <c r="O43" i="1"/>
  <c r="P43" i="1"/>
  <c r="Q43" i="1"/>
  <c r="S43" i="1"/>
  <c r="T43" i="1"/>
  <c r="U43" i="1"/>
  <c r="X43" i="1"/>
  <c r="Y43" i="1"/>
  <c r="AC43" i="1"/>
  <c r="C38" i="1"/>
  <c r="D38" i="1"/>
  <c r="E38" i="1"/>
  <c r="G38" i="1"/>
  <c r="H38" i="1"/>
  <c r="I38" i="1"/>
  <c r="K38" i="1"/>
  <c r="L38" i="1"/>
  <c r="M38" i="1"/>
  <c r="O38" i="1"/>
  <c r="P38" i="1"/>
  <c r="Q38" i="1"/>
  <c r="S38" i="1"/>
  <c r="T38" i="1"/>
  <c r="U38" i="1"/>
  <c r="W38" i="1"/>
  <c r="X38" i="1"/>
  <c r="Y38" i="1"/>
  <c r="AA38" i="1"/>
  <c r="AB38" i="1"/>
  <c r="AC38" i="1"/>
  <c r="C41" i="1"/>
  <c r="D41" i="1"/>
  <c r="E41" i="1"/>
  <c r="G41" i="1"/>
  <c r="H41" i="1"/>
  <c r="I41" i="1"/>
  <c r="K41" i="1"/>
  <c r="L41" i="1"/>
  <c r="M41" i="1"/>
  <c r="O41" i="1"/>
  <c r="P41" i="1"/>
  <c r="Q41" i="1"/>
  <c r="S41" i="1"/>
  <c r="T41" i="1"/>
  <c r="U41" i="1"/>
  <c r="W41" i="1"/>
  <c r="X41" i="1"/>
  <c r="Y41" i="1"/>
  <c r="AA41" i="1"/>
  <c r="AB41" i="1"/>
  <c r="AC41" i="1"/>
  <c r="C45" i="1"/>
  <c r="D45" i="1"/>
  <c r="E45" i="1"/>
  <c r="G45" i="1"/>
  <c r="H45" i="1"/>
  <c r="I45" i="1"/>
  <c r="K45" i="1"/>
  <c r="L45" i="1"/>
  <c r="M45" i="1"/>
  <c r="O45" i="1"/>
  <c r="P45" i="1"/>
  <c r="Q45" i="1"/>
  <c r="S45" i="1"/>
  <c r="T45" i="1"/>
  <c r="U45" i="1"/>
  <c r="W45" i="1"/>
  <c r="X45" i="1"/>
  <c r="Y45" i="1"/>
  <c r="AG42" i="1"/>
  <c r="AA45" i="1"/>
  <c r="AB45" i="1"/>
  <c r="AC45" i="1"/>
  <c r="D42" i="1"/>
  <c r="H42" i="1"/>
  <c r="L42" i="1"/>
  <c r="P42" i="1"/>
  <c r="T42" i="1"/>
  <c r="X42" i="1"/>
  <c r="AC42" i="1"/>
  <c r="AA34" i="1"/>
  <c r="AB34" i="1"/>
  <c r="AF42" i="1"/>
  <c r="AF8" i="1"/>
  <c r="AF44" i="1"/>
  <c r="AF25" i="1"/>
  <c r="AB42" i="1"/>
  <c r="AF43" i="1"/>
  <c r="AF16" i="1"/>
  <c r="AA30" i="1"/>
  <c r="AB30" i="1"/>
  <c r="AA12" i="1"/>
  <c r="AB12" i="1"/>
  <c r="AA27" i="1"/>
  <c r="AB27" i="1"/>
  <c r="AA20" i="1"/>
  <c r="AB20" i="1"/>
  <c r="AF34" i="1"/>
  <c r="AK15" i="1"/>
  <c r="U15" i="1"/>
  <c r="M15" i="1"/>
  <c r="E15" i="1"/>
  <c r="AI15" i="1"/>
  <c r="AA15" i="1"/>
  <c r="S15" i="1"/>
  <c r="K15" i="1"/>
  <c r="AA43" i="1"/>
  <c r="AB43" i="1"/>
  <c r="AW15" i="1"/>
  <c r="AF26" i="1"/>
  <c r="Y15" i="1"/>
  <c r="AS15" i="1"/>
  <c r="AV16" i="1"/>
  <c r="AV26" i="1"/>
  <c r="AW46" i="1"/>
  <c r="G15" i="1"/>
  <c r="O15" i="1"/>
  <c r="W15" i="1"/>
  <c r="AE15" i="1"/>
  <c r="AE46" i="1"/>
  <c r="C15" i="1"/>
  <c r="AB26" i="1"/>
  <c r="X26" i="1"/>
  <c r="AK26" i="1"/>
  <c r="AN26" i="1"/>
  <c r="AR26" i="1"/>
  <c r="AU26" i="1"/>
  <c r="AU46" i="1"/>
  <c r="AX18" i="1"/>
  <c r="AC26" i="1"/>
  <c r="Y26" i="1"/>
  <c r="AJ26" i="1"/>
  <c r="AO26" i="1"/>
  <c r="AS26" i="1"/>
  <c r="U46" i="1"/>
  <c r="Q46" i="1"/>
  <c r="M46" i="1"/>
  <c r="I46" i="1"/>
  <c r="E46" i="1"/>
  <c r="AK46" i="1"/>
  <c r="AS46" i="1"/>
  <c r="AM26" i="1"/>
  <c r="W26" i="1"/>
  <c r="O26" i="1"/>
  <c r="G26" i="1"/>
  <c r="C26" i="1"/>
  <c r="C46" i="1"/>
  <c r="AQ26" i="1"/>
  <c r="AQ46" i="1"/>
  <c r="AI26" i="1"/>
  <c r="AI46" i="1"/>
  <c r="AA26" i="1"/>
  <c r="AA46" i="1"/>
  <c r="S26" i="1"/>
  <c r="S46" i="1"/>
  <c r="K26" i="1"/>
  <c r="K46" i="1"/>
  <c r="Y46" i="1"/>
  <c r="W46" i="1"/>
  <c r="Z24" i="1"/>
  <c r="O46" i="1"/>
  <c r="G46" i="1"/>
  <c r="J14" i="1"/>
  <c r="Z16" i="1"/>
  <c r="Z21" i="1"/>
  <c r="Z28" i="1"/>
  <c r="AV15" i="1"/>
  <c r="AV46" i="1"/>
  <c r="AJ15" i="1"/>
  <c r="AJ46" i="1"/>
  <c r="AO15" i="1"/>
  <c r="AO46" i="1"/>
  <c r="AG20" i="1"/>
  <c r="AG26" i="1"/>
  <c r="J35" i="1"/>
  <c r="J9" i="1"/>
  <c r="J8" i="1"/>
  <c r="J17" i="1"/>
  <c r="J37" i="1"/>
  <c r="J45" i="1"/>
  <c r="J22" i="1"/>
  <c r="J40" i="1"/>
  <c r="J23" i="1"/>
  <c r="J42" i="1"/>
  <c r="J41" i="1"/>
  <c r="J11" i="1"/>
  <c r="J27" i="1"/>
  <c r="J44" i="1"/>
  <c r="J32" i="1"/>
  <c r="J7" i="1"/>
  <c r="J39" i="1"/>
  <c r="J33" i="1"/>
  <c r="J38" i="1"/>
  <c r="J25" i="1"/>
  <c r="J19" i="1"/>
  <c r="J13" i="1"/>
  <c r="J43" i="1"/>
  <c r="J10" i="1"/>
  <c r="J28" i="1"/>
  <c r="J5" i="1"/>
  <c r="J31" i="1"/>
  <c r="J36" i="1"/>
  <c r="AG12" i="1"/>
  <c r="AG15" i="1"/>
  <c r="AC15" i="1"/>
  <c r="AC46" i="1"/>
  <c r="AB15" i="1"/>
  <c r="AB46" i="1"/>
  <c r="X15" i="1"/>
  <c r="X46" i="1"/>
  <c r="H15" i="1"/>
  <c r="H46" i="1"/>
  <c r="L15" i="1"/>
  <c r="L46" i="1"/>
  <c r="AF15" i="1"/>
  <c r="AF46" i="1"/>
  <c r="P15" i="1"/>
  <c r="P46" i="1"/>
  <c r="T15" i="1"/>
  <c r="T46" i="1"/>
  <c r="D15" i="1"/>
  <c r="D46" i="1"/>
  <c r="AN15" i="1"/>
  <c r="AN46" i="1"/>
  <c r="AR10" i="1"/>
  <c r="AR13" i="1"/>
  <c r="AR11" i="1"/>
  <c r="AR6" i="1"/>
  <c r="AR7" i="1"/>
  <c r="AM15" i="1"/>
  <c r="AM46" i="1"/>
  <c r="AR5" i="1"/>
  <c r="AR14" i="1"/>
  <c r="AR12" i="1"/>
  <c r="AR8" i="1"/>
  <c r="AR9" i="1"/>
  <c r="J16" i="1"/>
  <c r="J30" i="1"/>
  <c r="J34" i="1"/>
  <c r="J12" i="1"/>
  <c r="Z29" i="1"/>
  <c r="Z33" i="1"/>
  <c r="Z19" i="1"/>
  <c r="AH40" i="1"/>
  <c r="AH22" i="1"/>
  <c r="AH28" i="1"/>
  <c r="AH42" i="1"/>
  <c r="AH7" i="1"/>
  <c r="AH5" i="1"/>
  <c r="AH30" i="1"/>
  <c r="AH25" i="1"/>
  <c r="AH12" i="1"/>
  <c r="AH41" i="1"/>
  <c r="AH32" i="1"/>
  <c r="AH35" i="1"/>
  <c r="AH44" i="1"/>
  <c r="AH36" i="1"/>
  <c r="AH11" i="1"/>
  <c r="AH10" i="1"/>
  <c r="AH39" i="1"/>
  <c r="AH45" i="1"/>
  <c r="AH31" i="1"/>
  <c r="AH17" i="1"/>
  <c r="AH9" i="1"/>
  <c r="AH29" i="1"/>
  <c r="AH13" i="1"/>
  <c r="AH27" i="1"/>
  <c r="AH38" i="1"/>
  <c r="AH37" i="1"/>
  <c r="AH24" i="1"/>
  <c r="AH23" i="1"/>
  <c r="AH19" i="1"/>
  <c r="AH34" i="1"/>
  <c r="AH33" i="1"/>
  <c r="AH6" i="1"/>
  <c r="AH8" i="1"/>
  <c r="AH16" i="1"/>
  <c r="AH21" i="1"/>
  <c r="AH43" i="1"/>
  <c r="AH14" i="1"/>
  <c r="AH20" i="1"/>
  <c r="Z30" i="1"/>
  <c r="Z36" i="1"/>
  <c r="Z43" i="1"/>
  <c r="J24" i="1"/>
  <c r="AG46" i="1"/>
  <c r="Z10" i="1"/>
  <c r="Z42" i="1"/>
  <c r="Z45" i="1"/>
  <c r="V20" i="1"/>
  <c r="V12" i="1"/>
  <c r="V38" i="1"/>
  <c r="V40" i="1"/>
  <c r="V22" i="1"/>
  <c r="V32" i="1"/>
  <c r="V36" i="1"/>
  <c r="V39" i="1"/>
  <c r="V45" i="1"/>
  <c r="V19" i="1"/>
  <c r="V24" i="1"/>
  <c r="V8" i="1"/>
  <c r="V42" i="1"/>
  <c r="V16" i="1"/>
  <c r="V7" i="1"/>
  <c r="V35" i="1"/>
  <c r="V11" i="1"/>
  <c r="V10" i="1"/>
  <c r="V25" i="1"/>
  <c r="V37" i="1"/>
  <c r="V5" i="1"/>
  <c r="V23" i="1"/>
  <c r="V43" i="1"/>
  <c r="V31" i="1"/>
  <c r="V13" i="1"/>
  <c r="V17" i="1"/>
  <c r="V33" i="1"/>
  <c r="V14" i="1"/>
  <c r="V27" i="1"/>
  <c r="V9" i="1"/>
  <c r="V44" i="1"/>
  <c r="V41" i="1"/>
  <c r="V28" i="1"/>
  <c r="V30" i="1"/>
  <c r="V34" i="1"/>
  <c r="AL45" i="1"/>
  <c r="AL19" i="1"/>
  <c r="AL29" i="1"/>
  <c r="AL10" i="1"/>
  <c r="AL9" i="1"/>
  <c r="AL21" i="1"/>
  <c r="AL34" i="1"/>
  <c r="AL11" i="1"/>
  <c r="AL16" i="1"/>
  <c r="AL36" i="1"/>
  <c r="AL44" i="1"/>
  <c r="AL12" i="1"/>
  <c r="AL35" i="1"/>
  <c r="AL23" i="1"/>
  <c r="AL38" i="1"/>
  <c r="AL25" i="1"/>
  <c r="AL32" i="1"/>
  <c r="AL40" i="1"/>
  <c r="AL28" i="1"/>
  <c r="AL20" i="1"/>
  <c r="AL8" i="1"/>
  <c r="AL13" i="1"/>
  <c r="AL30" i="1"/>
  <c r="AL42" i="1"/>
  <c r="AL6" i="1"/>
  <c r="AL22" i="1"/>
  <c r="AL31" i="1"/>
  <c r="AL43" i="1"/>
  <c r="AL27" i="1"/>
  <c r="AL39" i="1"/>
  <c r="AL5" i="1"/>
  <c r="AL14" i="1"/>
  <c r="AL7" i="1"/>
  <c r="AL33" i="1"/>
  <c r="AL17" i="1"/>
  <c r="AL24" i="1"/>
  <c r="AL37" i="1"/>
  <c r="AL41" i="1"/>
  <c r="F5" i="1"/>
  <c r="F6" i="1"/>
  <c r="F12" i="1"/>
  <c r="F42" i="1"/>
  <c r="F37" i="1"/>
  <c r="F31" i="1"/>
  <c r="F17" i="1"/>
  <c r="F9" i="1"/>
  <c r="F44" i="1"/>
  <c r="F33" i="1"/>
  <c r="F14" i="1"/>
  <c r="F45" i="1"/>
  <c r="F36" i="1"/>
  <c r="F27" i="1"/>
  <c r="F13" i="1"/>
  <c r="F10" i="1"/>
  <c r="F35" i="1"/>
  <c r="F23" i="1"/>
  <c r="F43" i="1"/>
  <c r="F41" i="1"/>
  <c r="F34" i="1"/>
  <c r="F30" i="1"/>
  <c r="F11" i="1"/>
  <c r="F40" i="1"/>
  <c r="F28" i="1"/>
  <c r="F25" i="1"/>
  <c r="F16" i="1"/>
  <c r="F19" i="1"/>
  <c r="F22" i="1"/>
  <c r="F24" i="1"/>
  <c r="F26" i="1"/>
  <c r="F32" i="1"/>
  <c r="F38" i="1"/>
  <c r="F39" i="1"/>
  <c r="F7" i="1"/>
  <c r="F8" i="1"/>
  <c r="F15" i="1"/>
  <c r="F46" i="1"/>
  <c r="N10" i="1"/>
  <c r="N22" i="1"/>
  <c r="N32" i="1"/>
  <c r="N44" i="1"/>
  <c r="N28" i="1"/>
  <c r="N31" i="1"/>
  <c r="N12" i="1"/>
  <c r="N24" i="1"/>
  <c r="N17" i="1"/>
  <c r="N45" i="1"/>
  <c r="N40" i="1"/>
  <c r="N27" i="1"/>
  <c r="N33" i="1"/>
  <c r="N5" i="1"/>
  <c r="N37" i="1"/>
  <c r="N34" i="1"/>
  <c r="N16" i="1"/>
  <c r="N19" i="1"/>
  <c r="N11" i="1"/>
  <c r="N42" i="1"/>
  <c r="N35" i="1"/>
  <c r="N13" i="1"/>
  <c r="N23" i="1"/>
  <c r="N8" i="1"/>
  <c r="N39" i="1"/>
  <c r="N43" i="1"/>
  <c r="N36" i="1"/>
  <c r="N7" i="1"/>
  <c r="N38" i="1"/>
  <c r="N25" i="1"/>
  <c r="N41" i="1"/>
  <c r="N9" i="1"/>
  <c r="N14" i="1"/>
  <c r="N30" i="1"/>
  <c r="AD21" i="1"/>
  <c r="AD44" i="1"/>
  <c r="AD42" i="1"/>
  <c r="AD9" i="1"/>
  <c r="AD6" i="1"/>
  <c r="AD8" i="1"/>
  <c r="AD39" i="1"/>
  <c r="AD22" i="1"/>
  <c r="AD43" i="1"/>
  <c r="AD32" i="1"/>
  <c r="AD20" i="1"/>
  <c r="AD24" i="1"/>
  <c r="AD30" i="1"/>
  <c r="AD16" i="1"/>
  <c r="AD33" i="1"/>
  <c r="AD31" i="1"/>
  <c r="AD45" i="1"/>
  <c r="AD25" i="1"/>
  <c r="AD41" i="1"/>
  <c r="AD37" i="1"/>
  <c r="AD28" i="1"/>
  <c r="AD38" i="1"/>
  <c r="AD17" i="1"/>
  <c r="AD19" i="1"/>
  <c r="AD36" i="1"/>
  <c r="AD29" i="1"/>
  <c r="AD11" i="1"/>
  <c r="AD10" i="1"/>
  <c r="AD5" i="1"/>
  <c r="AD7" i="1"/>
  <c r="AD13" i="1"/>
  <c r="AD12" i="1"/>
  <c r="AD27" i="1"/>
  <c r="AD34" i="1"/>
  <c r="AD14" i="1"/>
  <c r="AD35" i="1"/>
  <c r="AD40" i="1"/>
  <c r="AD23" i="1"/>
  <c r="Z8" i="1"/>
  <c r="Z32" i="1"/>
  <c r="Z40" i="1"/>
  <c r="Z22" i="1"/>
  <c r="Z17" i="1"/>
  <c r="Z14" i="1"/>
  <c r="Z23" i="1"/>
  <c r="Z44" i="1"/>
  <c r="Z37" i="1"/>
  <c r="Z13" i="1"/>
  <c r="Z38" i="1"/>
  <c r="Z34" i="1"/>
  <c r="Z39" i="1"/>
  <c r="Z35" i="1"/>
  <c r="Z27" i="1"/>
  <c r="Z9" i="1"/>
  <c r="Z7" i="1"/>
  <c r="Z5" i="1"/>
  <c r="Z41" i="1"/>
  <c r="Z25" i="1"/>
  <c r="Z31" i="1"/>
  <c r="Z12" i="1"/>
  <c r="Z11" i="1"/>
  <c r="Z20" i="1"/>
  <c r="R11" i="1"/>
  <c r="R41" i="1"/>
  <c r="R36" i="1"/>
  <c r="R31" i="1"/>
  <c r="R22" i="1"/>
  <c r="R5" i="1"/>
  <c r="R38" i="1"/>
  <c r="R25" i="1"/>
  <c r="R13" i="1"/>
  <c r="R9" i="1"/>
  <c r="R34" i="1"/>
  <c r="R27" i="1"/>
  <c r="R8" i="1"/>
  <c r="R43" i="1"/>
  <c r="R37" i="1"/>
  <c r="R30" i="1"/>
  <c r="R16" i="1"/>
  <c r="R42" i="1"/>
  <c r="R39" i="1"/>
  <c r="R35" i="1"/>
  <c r="R33" i="1"/>
  <c r="R14" i="1"/>
  <c r="R45" i="1"/>
  <c r="R24" i="1"/>
  <c r="R19" i="1"/>
  <c r="R12" i="1"/>
  <c r="R44" i="1"/>
  <c r="R28" i="1"/>
  <c r="R23" i="1"/>
  <c r="R10" i="1"/>
  <c r="R40" i="1"/>
  <c r="R32" i="1"/>
  <c r="R17" i="1"/>
  <c r="R7" i="1"/>
  <c r="AD26" i="1"/>
  <c r="J26" i="1"/>
  <c r="AH26" i="1"/>
  <c r="AX44" i="1"/>
  <c r="AX42" i="1"/>
  <c r="AX40" i="1"/>
  <c r="AX38" i="1"/>
  <c r="AX36" i="1"/>
  <c r="AX34" i="1"/>
  <c r="AX32" i="1"/>
  <c r="AX30" i="1"/>
  <c r="AX29" i="1"/>
  <c r="AX24" i="1"/>
  <c r="AX23" i="1"/>
  <c r="AX21" i="1"/>
  <c r="AX17" i="1"/>
  <c r="AX16" i="1"/>
  <c r="AX13" i="1"/>
  <c r="AX11" i="1"/>
  <c r="AX9" i="1"/>
  <c r="AX6" i="1"/>
  <c r="AX5" i="1"/>
  <c r="AX45" i="1"/>
  <c r="AX43" i="1"/>
  <c r="AX41" i="1"/>
  <c r="AX39" i="1"/>
  <c r="AX37" i="1"/>
  <c r="AX35" i="1"/>
  <c r="AX33" i="1"/>
  <c r="AX31" i="1"/>
  <c r="AX28" i="1"/>
  <c r="AX27" i="1"/>
  <c r="AX25" i="1"/>
  <c r="AX22" i="1"/>
  <c r="AX20" i="1"/>
  <c r="AX19" i="1"/>
  <c r="AX14" i="1"/>
  <c r="AX12" i="1"/>
  <c r="AX8" i="1"/>
  <c r="AX7" i="1"/>
  <c r="AX10" i="1"/>
  <c r="AT10" i="1"/>
  <c r="AR15" i="1"/>
  <c r="AR46" i="1"/>
  <c r="J15" i="1"/>
  <c r="J46" i="1"/>
  <c r="AT11" i="1"/>
  <c r="N15" i="1"/>
  <c r="AP45" i="1"/>
  <c r="AP13" i="1"/>
  <c r="AP6" i="1"/>
  <c r="AP19" i="1"/>
  <c r="AP23" i="1"/>
  <c r="AP24" i="1"/>
  <c r="AP31" i="1"/>
  <c r="AP35" i="1"/>
  <c r="AP39" i="1"/>
  <c r="AP44" i="1"/>
  <c r="AP5" i="1"/>
  <c r="AP12" i="1"/>
  <c r="AP9" i="1"/>
  <c r="AP17" i="1"/>
  <c r="AP21" i="1"/>
  <c r="AP30" i="1"/>
  <c r="AP32" i="1"/>
  <c r="AP36" i="1"/>
  <c r="AP40" i="1"/>
  <c r="AP10" i="1"/>
  <c r="AP11" i="1"/>
  <c r="AP7" i="1"/>
  <c r="AP20" i="1"/>
  <c r="AP25" i="1"/>
  <c r="AP29" i="1"/>
  <c r="AP33" i="1"/>
  <c r="AP37" i="1"/>
  <c r="AP41" i="1"/>
  <c r="AP42" i="1"/>
  <c r="AP14" i="1"/>
  <c r="AP8" i="1"/>
  <c r="AP16" i="1"/>
  <c r="AP22" i="1"/>
  <c r="AP27" i="1"/>
  <c r="AP28" i="1"/>
  <c r="AP34" i="1"/>
  <c r="AP38" i="1"/>
  <c r="AP43" i="1"/>
  <c r="AT45" i="1"/>
  <c r="AT43" i="1"/>
  <c r="AT40" i="1"/>
  <c r="AT38" i="1"/>
  <c r="AT36" i="1"/>
  <c r="AT34" i="1"/>
  <c r="AT32" i="1"/>
  <c r="AT28" i="1"/>
  <c r="AT30" i="1"/>
  <c r="AT27" i="1"/>
  <c r="AT21" i="1"/>
  <c r="AT22" i="1"/>
  <c r="AT17" i="1"/>
  <c r="AT16" i="1"/>
  <c r="AT42" i="1"/>
  <c r="AT44" i="1"/>
  <c r="AT41" i="1"/>
  <c r="AT39" i="1"/>
  <c r="AT37" i="1"/>
  <c r="AT35" i="1"/>
  <c r="AT33" i="1"/>
  <c r="AT31" i="1"/>
  <c r="AT29" i="1"/>
  <c r="AT24" i="1"/>
  <c r="AT25" i="1"/>
  <c r="AT23" i="1"/>
  <c r="AT20" i="1"/>
  <c r="AT19" i="1"/>
  <c r="AT13" i="1"/>
  <c r="AT8" i="1"/>
  <c r="AT12" i="1"/>
  <c r="AT5" i="1"/>
  <c r="AT9" i="1"/>
  <c r="AH15" i="1"/>
  <c r="AH46" i="1"/>
  <c r="AT7" i="1"/>
  <c r="AT14" i="1"/>
  <c r="AT6" i="1"/>
  <c r="AD15" i="1"/>
  <c r="AD46" i="1"/>
  <c r="Z26" i="1"/>
  <c r="Z15" i="1"/>
  <c r="R26" i="1"/>
  <c r="N26" i="1"/>
  <c r="V15" i="1"/>
  <c r="N46" i="1"/>
  <c r="R15" i="1"/>
  <c r="R46" i="1"/>
  <c r="AL15" i="1"/>
  <c r="AL26" i="1"/>
  <c r="V26" i="1"/>
  <c r="AX26" i="1"/>
  <c r="AT26" i="1"/>
  <c r="AP26" i="1"/>
  <c r="AX15" i="1"/>
  <c r="AT15" i="1"/>
  <c r="AP15" i="1"/>
  <c r="AX46" i="1"/>
  <c r="AT46" i="1"/>
  <c r="Z46" i="1"/>
  <c r="AL46" i="1"/>
  <c r="AP46" i="1"/>
  <c r="V46" i="1"/>
</calcChain>
</file>

<file path=xl/sharedStrings.xml><?xml version="1.0" encoding="utf-8"?>
<sst xmlns="http://schemas.openxmlformats.org/spreadsheetml/2006/main" count="147" uniqueCount="97">
  <si>
    <t>VALOR PRESENTE E QUANTIDADE DE CONTRATOS</t>
  </si>
  <si>
    <t>POSIÇÃO</t>
  </si>
  <si>
    <t>E M P R E S A</t>
  </si>
  <si>
    <t>JANEIRO/2008</t>
  </si>
  <si>
    <t>FEVEREIRO/2008</t>
  </si>
  <si>
    <t>MARÇO/2008</t>
  </si>
  <si>
    <t>ABRIL/2008</t>
  </si>
  <si>
    <t>MAIO/2008</t>
  </si>
  <si>
    <t>JUNHO/2008</t>
  </si>
  <si>
    <t>JULHO/2008</t>
  </si>
  <si>
    <t>AGOSTO/2008</t>
  </si>
  <si>
    <t>SETEMBRO/2008</t>
  </si>
  <si>
    <t>OUTUBRO/2008</t>
  </si>
  <si>
    <t>NOVEMBRO/2008</t>
  </si>
  <si>
    <t>DEZEMBRO/2008</t>
  </si>
  <si>
    <t xml:space="preserve">R$ </t>
  </si>
  <si>
    <t>US$</t>
  </si>
  <si>
    <t>CONTRATOS</t>
  </si>
  <si>
    <t>PART.%</t>
  </si>
  <si>
    <t>Banco Itauleasing S/A Carteira  Arrendamento Mercantil</t>
  </si>
  <si>
    <t>BFB Leasing S/A</t>
  </si>
  <si>
    <t>Real Leasing S.A. Arrendamento Mercantil</t>
  </si>
  <si>
    <t>Dibens Leasing S/A Arrendamento Mercantil</t>
  </si>
  <si>
    <t>Banco Itaucard S/A Arrendamento Mercantil</t>
  </si>
  <si>
    <t>Banco Finasa S/A - Carteira Arrendamento Mercantil</t>
  </si>
  <si>
    <t>Bradesco Leasing S/A Arrendamento Mercantil</t>
  </si>
  <si>
    <t>Safra Leasing S/A Arrendamento Mercantil</t>
  </si>
  <si>
    <t>*</t>
  </si>
  <si>
    <t>HSBC Bank Brasil S/A  Arrendamento Mercantil</t>
  </si>
  <si>
    <t>BB Leasing S/A  Arrendamento Mercantil</t>
  </si>
  <si>
    <t xml:space="preserve">Banco Itaú S/A </t>
  </si>
  <si>
    <t>Banco Volkswagen S/A Arrendamento Mercantil</t>
  </si>
  <si>
    <t>Banco Alvorada S/A  Carteira de Arrendamento Mercantil</t>
  </si>
  <si>
    <t>Banco GMAC S/A Arrendamento Mercantil</t>
  </si>
  <si>
    <t>Banco J. Safra S/A Carteira de Arrendamento Mercantil</t>
  </si>
  <si>
    <t>ITAUBBA Leasing S/A</t>
  </si>
  <si>
    <t>Banco IBM S/A Arrendamento Mercantil</t>
  </si>
  <si>
    <t>Mercedes-Benz Leasing do Brasil Arrend. Mercantil</t>
  </si>
  <si>
    <t>BV Leasing Arrendamento Mercantil S/A</t>
  </si>
  <si>
    <t>Alfa Arrendamento Mercantil S/A</t>
  </si>
  <si>
    <t>Panamericano Arrendamento Mercantil S/A</t>
  </si>
  <si>
    <t>Toyota Leasing do Brasil S/A Arrendamento Mercantil</t>
  </si>
  <si>
    <t>Banco Santander S/A</t>
  </si>
  <si>
    <t>Banco Safra S/A Carteira Arrendamento Mercantil</t>
  </si>
  <si>
    <t>Santander Brasil Arrendamento Mercantil S/A</t>
  </si>
  <si>
    <t>HP Financial Services Arrendamento Mercantil S/A</t>
  </si>
  <si>
    <t>ABN Amro Arrendamento Mercantil S/A</t>
  </si>
  <si>
    <t>Banco Commercial I.Trust do Brasil S/A - Banco Múltiplo</t>
  </si>
  <si>
    <t>Leaseplan Arrendamento Mercantil S/A</t>
  </si>
  <si>
    <t>Itaubank Leasing S/A Arrendamento Mercantil</t>
  </si>
  <si>
    <t>Cia. de Arrendamento Mercantil Renault do Brasil</t>
  </si>
  <si>
    <t>BMG Leasing S/A Arrendamento Mercantil</t>
  </si>
  <si>
    <t>Banco Guanabara S/A -  Arrendamento Mercantil</t>
  </si>
  <si>
    <t>Honda Leasing S/A Arrendamento Mercantil</t>
  </si>
  <si>
    <t>BIC Arrendamento Mercantil S/A</t>
  </si>
  <si>
    <t>BMW Leasing do Brasil S/A Arrendamento Mercantil</t>
  </si>
  <si>
    <t>Citibank Leasing S/A Arrendamento Mercantil</t>
  </si>
  <si>
    <t xml:space="preserve">Banco Volvo S/A Arrendamento Mercantil </t>
  </si>
  <si>
    <t>Mercantil do Brasil Leasing S/A Arrendamento Mercantil</t>
  </si>
  <si>
    <t>TOTAL</t>
  </si>
  <si>
    <t xml:space="preserve">  (*) REFERE-SE AO VALOR DO ÚLTIMO MÊS INFORMADO</t>
  </si>
  <si>
    <t>Valor presente da carteira: saldo das contraprestações e valores residuais garantidos (vrg) a vencer, descontados a taxa de retorno de cada contrato.</t>
  </si>
  <si>
    <t xml:space="preserve">       Atualizado em 02/02/2009</t>
  </si>
  <si>
    <t xml:space="preserve">       Dólar = 2,3366</t>
  </si>
  <si>
    <t>NOVEMBRO</t>
  </si>
  <si>
    <t>DEZEMBRO</t>
  </si>
  <si>
    <t>JANEIRO_2006</t>
  </si>
  <si>
    <t>FEVEREIRO_2006</t>
  </si>
  <si>
    <t>MARÇO_2006</t>
  </si>
  <si>
    <t>ABRIL</t>
  </si>
  <si>
    <t>MAIO</t>
  </si>
  <si>
    <t>JUNHO_2006</t>
  </si>
  <si>
    <t>JULHO_2006</t>
  </si>
  <si>
    <t>AGOSTO_06</t>
  </si>
  <si>
    <t>SETEMBRO_06</t>
  </si>
  <si>
    <t>OUTUBRO_06</t>
  </si>
  <si>
    <t>NOVEMBRO_06</t>
  </si>
  <si>
    <t>DEZEMBRO_06</t>
  </si>
  <si>
    <t>janeiro_2007</t>
  </si>
  <si>
    <t>FEVEREIRO</t>
  </si>
  <si>
    <t>marco/07</t>
  </si>
  <si>
    <t>SETEMBRO</t>
  </si>
  <si>
    <t>Outubro</t>
  </si>
  <si>
    <t>Novembro</t>
  </si>
  <si>
    <t>Dezembro</t>
  </si>
  <si>
    <t>Janeiro</t>
  </si>
  <si>
    <t>Fevereiro</t>
  </si>
  <si>
    <t>Março</t>
  </si>
  <si>
    <t>Abril</t>
  </si>
  <si>
    <t>Maio</t>
  </si>
  <si>
    <t>Junho</t>
  </si>
  <si>
    <t>Julho</t>
  </si>
  <si>
    <t>Agosto</t>
  </si>
  <si>
    <t>Setembro</t>
  </si>
  <si>
    <t>outubro</t>
  </si>
  <si>
    <t>novembro</t>
  </si>
  <si>
    <t>dezembro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</si>
</sst>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0.0000"/>
    <numFmt numFmtId="166" formatCode="#,##0.0000"/>
    <numFmt numFmtId="167" formatCode="#,##0.0000_);\(#,##0.0000\)"/>
    <numFmt numFmtId="168" formatCode="_(* #,##0_);_(* \(#,##0\);_(* &quot;-&quot;??_);_(@_)"/>
    <numFmt numFmtId="169" formatCode="_(* #,##0.0000_);_(* \(#,##0.0000\);_(* &quot;-&quot;??_);_(@_)"/>
  </numFmts>
  <fonts count="9">
    <font>
      <sz val="10"/>
      <name val="Arial"/>
    </font>
    <font>
      <sz val="10"/>
      <name val="Arial"/>
      <family val="2"/>
    </font>
    <font>
      <sz val="10"/>
      <name val="Arial"/>
      <family val="2"/>
    </font>
    <font>
      <sz val="14"/>
      <color indexed="9"/>
      <name val="Arial Narrow"/>
      <family val="2"/>
    </font>
    <font>
      <b/>
      <sz val="14"/>
      <color indexed="9"/>
      <name val="Arial Narrow"/>
      <family val="2"/>
    </font>
    <font>
      <sz val="14"/>
      <name val="Arial Narrow"/>
      <family val="2"/>
    </font>
    <font>
      <sz val="14"/>
      <color indexed="23"/>
      <name val="Arial Narrow"/>
      <family val="2"/>
    </font>
    <font>
      <b/>
      <i/>
      <sz val="14"/>
      <color indexed="23"/>
      <name val="Arial Narrow"/>
      <family val="2"/>
    </font>
    <font>
      <b/>
      <sz val="14"/>
      <color indexed="23"/>
      <name val="Arial Narrow"/>
      <family val="2"/>
    </font>
  </fonts>
  <fills count="5">
    <fill>
      <patternFill patternType="none"/>
    </fill>
    <fill>
      <patternFill patternType="gray125"/>
    </fill>
    <fill>
      <patternFill patternType="solid">
        <fgColor indexed="55"/>
        <bgColor indexed="64"/>
      </patternFill>
    </fill>
    <fill>
      <patternFill patternType="solid">
        <fgColor indexed="30"/>
        <bgColor indexed="64"/>
      </patternFill>
    </fill>
    <fill>
      <patternFill patternType="solid">
        <fgColor theme="0" tint="-4.9989318521683403E-2"/>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22"/>
      </left>
      <right style="hair">
        <color indexed="22"/>
      </right>
      <top style="hair">
        <color indexed="22"/>
      </top>
      <bottom style="hair">
        <color indexed="22"/>
      </bottom>
      <diagonal/>
    </border>
    <border>
      <left style="hair">
        <color indexed="22"/>
      </left>
      <right style="hair">
        <color indexed="22"/>
      </right>
      <top style="hair">
        <color indexed="22"/>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22"/>
      </left>
      <right/>
      <top style="hair">
        <color indexed="22"/>
      </top>
      <bottom style="hair">
        <color indexed="22"/>
      </bottom>
      <diagonal/>
    </border>
    <border>
      <left style="hair">
        <color indexed="22"/>
      </left>
      <right/>
      <top style="hair">
        <color indexed="22"/>
      </top>
      <bottom/>
      <diagonal/>
    </border>
    <border>
      <left style="hair">
        <color indexed="22"/>
      </left>
      <right style="hair">
        <color indexed="22"/>
      </right>
      <top/>
      <bottom style="hair">
        <color indexed="22"/>
      </bottom>
      <diagonal/>
    </border>
    <border>
      <left style="hair">
        <color indexed="22"/>
      </left>
      <right/>
      <top/>
      <bottom style="hair">
        <color indexed="22"/>
      </bottom>
      <diagonal/>
    </border>
    <border>
      <left/>
      <right/>
      <top style="hair">
        <color indexed="22"/>
      </top>
      <bottom style="hair">
        <color indexed="22"/>
      </bottom>
      <diagonal/>
    </border>
    <border>
      <left/>
      <right style="hair">
        <color indexed="22"/>
      </right>
      <top style="hair">
        <color indexed="22"/>
      </top>
      <bottom style="hair">
        <color indexed="22"/>
      </bottom>
      <diagonal/>
    </border>
  </borders>
  <cellStyleXfs count="2">
    <xf numFmtId="0" fontId="0" fillId="0" borderId="0"/>
    <xf numFmtId="164" fontId="1" fillId="0" borderId="0" applyFont="0" applyFill="0" applyBorder="0" applyAlignment="0" applyProtection="0"/>
  </cellStyleXfs>
  <cellXfs count="74">
    <xf numFmtId="0" fontId="0" fillId="0" borderId="0" xfId="0"/>
    <xf numFmtId="0" fontId="2" fillId="0" borderId="0" xfId="0" applyFont="1"/>
    <xf numFmtId="0" fontId="1" fillId="0" borderId="0" xfId="0" applyFont="1"/>
    <xf numFmtId="0" fontId="0" fillId="2" borderId="0" xfId="0" applyFill="1"/>
    <xf numFmtId="3" fontId="4" fillId="3" borderId="1" xfId="0" applyNumberFormat="1" applyFont="1" applyFill="1" applyBorder="1" applyAlignment="1">
      <alignment horizontal="center" vertical="center"/>
    </xf>
    <xf numFmtId="3" fontId="4" fillId="3" borderId="1" xfId="0" quotePrefix="1" applyNumberFormat="1" applyFont="1" applyFill="1" applyBorder="1" applyAlignment="1" applyProtection="1">
      <alignment horizontal="center" vertical="center"/>
    </xf>
    <xf numFmtId="0" fontId="4" fillId="3" borderId="1" xfId="0" quotePrefix="1" applyFont="1" applyFill="1" applyBorder="1" applyAlignment="1" applyProtection="1">
      <alignment horizontal="center" vertical="center"/>
    </xf>
    <xf numFmtId="0" fontId="3" fillId="3" borderId="2" xfId="0" applyFont="1" applyFill="1" applyBorder="1" applyAlignment="1">
      <alignment horizontal="center" vertical="center"/>
    </xf>
    <xf numFmtId="0" fontId="3" fillId="3" borderId="2" xfId="0" applyFont="1" applyFill="1" applyBorder="1" applyAlignment="1" applyProtection="1">
      <alignment horizontal="left" vertical="center"/>
    </xf>
    <xf numFmtId="3" fontId="4" fillId="3" borderId="2" xfId="0" applyNumberFormat="1" applyFont="1" applyFill="1" applyBorder="1" applyAlignment="1" applyProtection="1">
      <alignment vertical="center"/>
    </xf>
    <xf numFmtId="0" fontId="4" fillId="3" borderId="3" xfId="0" applyFont="1" applyFill="1" applyBorder="1" applyAlignment="1">
      <alignment horizontal="center" vertical="center"/>
    </xf>
    <xf numFmtId="0" fontId="4" fillId="3" borderId="3" xfId="0" applyFont="1" applyFill="1" applyBorder="1" applyAlignment="1" applyProtection="1">
      <alignment horizontal="left" vertical="center"/>
    </xf>
    <xf numFmtId="3" fontId="4" fillId="3" borderId="3" xfId="0" applyNumberFormat="1" applyFont="1" applyFill="1" applyBorder="1" applyAlignment="1" applyProtection="1">
      <alignment vertical="center"/>
    </xf>
    <xf numFmtId="0" fontId="3" fillId="3" borderId="4" xfId="0" applyFont="1" applyFill="1" applyBorder="1" applyAlignment="1">
      <alignment horizontal="center" vertical="center"/>
    </xf>
    <xf numFmtId="0" fontId="4" fillId="3" borderId="4" xfId="0" applyFont="1" applyFill="1" applyBorder="1" applyAlignment="1" applyProtection="1">
      <alignment horizontal="left" vertical="center"/>
    </xf>
    <xf numFmtId="3" fontId="4" fillId="3" borderId="4" xfId="0" applyNumberFormat="1" applyFont="1" applyFill="1" applyBorder="1" applyAlignment="1" applyProtection="1">
      <alignment horizontal="right" vertical="center"/>
    </xf>
    <xf numFmtId="0" fontId="4" fillId="3" borderId="5" xfId="0" applyFont="1" applyFill="1" applyBorder="1" applyAlignment="1">
      <alignment horizontal="center" vertical="center"/>
    </xf>
    <xf numFmtId="3" fontId="4" fillId="3" borderId="6" xfId="0" applyNumberFormat="1" applyFont="1" applyFill="1" applyBorder="1" applyAlignment="1" applyProtection="1">
      <alignment vertical="center"/>
    </xf>
    <xf numFmtId="3" fontId="4" fillId="3" borderId="7" xfId="0" applyNumberFormat="1" applyFont="1" applyFill="1" applyBorder="1" applyAlignment="1" applyProtection="1">
      <alignment vertical="center"/>
    </xf>
    <xf numFmtId="3" fontId="4" fillId="3" borderId="8" xfId="0" applyNumberFormat="1" applyFont="1" applyFill="1" applyBorder="1" applyAlignment="1" applyProtection="1">
      <alignment horizontal="right" vertical="center"/>
    </xf>
    <xf numFmtId="0" fontId="6" fillId="3" borderId="3" xfId="0" applyFont="1" applyFill="1" applyBorder="1"/>
    <xf numFmtId="0" fontId="6" fillId="3" borderId="3" xfId="0" quotePrefix="1" applyFont="1" applyFill="1" applyBorder="1"/>
    <xf numFmtId="0" fontId="0" fillId="4" borderId="0" xfId="0" applyFill="1"/>
    <xf numFmtId="0" fontId="6" fillId="4" borderId="9" xfId="0" applyFont="1" applyFill="1" applyBorder="1" applyAlignment="1">
      <alignment horizontal="center"/>
    </xf>
    <xf numFmtId="0" fontId="6" fillId="4" borderId="9" xfId="0" applyFont="1" applyFill="1" applyBorder="1" applyAlignment="1" applyProtection="1">
      <alignment horizontal="left"/>
    </xf>
    <xf numFmtId="3" fontId="6" fillId="4" borderId="9" xfId="0" applyNumberFormat="1" applyFont="1" applyFill="1" applyBorder="1" applyProtection="1"/>
    <xf numFmtId="165" fontId="6" fillId="4" borderId="9" xfId="0" applyNumberFormat="1" applyFont="1" applyFill="1" applyBorder="1" applyProtection="1"/>
    <xf numFmtId="165" fontId="6" fillId="4" borderId="10" xfId="0" applyNumberFormat="1" applyFont="1" applyFill="1" applyBorder="1" applyProtection="1"/>
    <xf numFmtId="0" fontId="6" fillId="4" borderId="3" xfId="0" applyFont="1" applyFill="1" applyBorder="1"/>
    <xf numFmtId="0" fontId="6" fillId="4" borderId="3" xfId="0" applyFont="1" applyFill="1" applyBorder="1" applyAlignment="1">
      <alignment horizontal="center"/>
    </xf>
    <xf numFmtId="0" fontId="6" fillId="4" borderId="3" xfId="0" applyFont="1" applyFill="1" applyBorder="1" applyAlignment="1">
      <alignment horizontal="left"/>
    </xf>
    <xf numFmtId="3" fontId="6" fillId="4" borderId="3" xfId="0" applyNumberFormat="1" applyFont="1" applyFill="1" applyBorder="1" applyProtection="1"/>
    <xf numFmtId="165" fontId="6" fillId="4" borderId="3" xfId="0" applyNumberFormat="1" applyFont="1" applyFill="1" applyBorder="1" applyProtection="1"/>
    <xf numFmtId="165" fontId="6" fillId="4" borderId="7" xfId="0" applyNumberFormat="1" applyFont="1" applyFill="1" applyBorder="1" applyProtection="1"/>
    <xf numFmtId="168" fontId="6" fillId="4" borderId="3" xfId="1" applyNumberFormat="1" applyFont="1" applyFill="1" applyBorder="1" applyAlignment="1">
      <alignment horizontal="right"/>
    </xf>
    <xf numFmtId="168" fontId="6" fillId="4" borderId="3" xfId="1" applyNumberFormat="1" applyFont="1" applyFill="1" applyBorder="1" applyAlignment="1"/>
    <xf numFmtId="3" fontId="7" fillId="4" borderId="3" xfId="0" applyNumberFormat="1" applyFont="1" applyFill="1" applyBorder="1" applyProtection="1"/>
    <xf numFmtId="165" fontId="7" fillId="4" borderId="3" xfId="0" applyNumberFormat="1" applyFont="1" applyFill="1" applyBorder="1" applyProtection="1"/>
    <xf numFmtId="0" fontId="6" fillId="4" borderId="3" xfId="0" applyFont="1" applyFill="1" applyBorder="1" applyAlignment="1" applyProtection="1">
      <alignment horizontal="left"/>
    </xf>
    <xf numFmtId="3" fontId="6" fillId="4" borderId="3" xfId="0" quotePrefix="1" applyNumberFormat="1" applyFont="1" applyFill="1" applyBorder="1" applyProtection="1"/>
    <xf numFmtId="0" fontId="6" fillId="4" borderId="3" xfId="0" quotePrefix="1" applyFont="1" applyFill="1" applyBorder="1" applyAlignment="1" applyProtection="1">
      <alignment horizontal="left"/>
    </xf>
    <xf numFmtId="37" fontId="6" fillId="4" borderId="3" xfId="0" applyNumberFormat="1" applyFont="1" applyFill="1" applyBorder="1" applyAlignment="1" applyProtection="1">
      <alignment horizontal="right"/>
    </xf>
    <xf numFmtId="37" fontId="7" fillId="4" borderId="3" xfId="0" applyNumberFormat="1" applyFont="1" applyFill="1" applyBorder="1" applyAlignment="1" applyProtection="1">
      <alignment horizontal="right"/>
    </xf>
    <xf numFmtId="0" fontId="6" fillId="4" borderId="3" xfId="0" quotePrefix="1" applyFont="1" applyFill="1" applyBorder="1"/>
    <xf numFmtId="0" fontId="6" fillId="4" borderId="4" xfId="0" applyFont="1" applyFill="1" applyBorder="1" applyAlignment="1">
      <alignment horizontal="center"/>
    </xf>
    <xf numFmtId="0" fontId="6" fillId="4" borderId="4" xfId="0" applyFont="1" applyFill="1" applyBorder="1" applyAlignment="1" applyProtection="1">
      <alignment horizontal="left"/>
    </xf>
    <xf numFmtId="3" fontId="6" fillId="4" borderId="4" xfId="0" applyNumberFormat="1" applyFont="1" applyFill="1" applyBorder="1" applyProtection="1"/>
    <xf numFmtId="165" fontId="6" fillId="4" borderId="4" xfId="0" applyNumberFormat="1" applyFont="1" applyFill="1" applyBorder="1" applyProtection="1"/>
    <xf numFmtId="165" fontId="6" fillId="4" borderId="8" xfId="0" applyNumberFormat="1" applyFont="1" applyFill="1" applyBorder="1" applyProtection="1"/>
    <xf numFmtId="3" fontId="6" fillId="4" borderId="3" xfId="0" applyNumberFormat="1" applyFont="1" applyFill="1" applyBorder="1" applyAlignment="1" applyProtection="1">
      <alignment horizontal="right"/>
    </xf>
    <xf numFmtId="3" fontId="8" fillId="4" borderId="3" xfId="0" applyNumberFormat="1" applyFont="1" applyFill="1" applyBorder="1" applyProtection="1"/>
    <xf numFmtId="165" fontId="7" fillId="4" borderId="7" xfId="0" applyNumberFormat="1" applyFont="1" applyFill="1" applyBorder="1" applyProtection="1"/>
    <xf numFmtId="3" fontId="6" fillId="4" borderId="3" xfId="0" applyNumberFormat="1" applyFont="1" applyFill="1" applyBorder="1"/>
    <xf numFmtId="3" fontId="7" fillId="4" borderId="3" xfId="0" applyNumberFormat="1" applyFont="1" applyFill="1" applyBorder="1"/>
    <xf numFmtId="3" fontId="7" fillId="4" borderId="3" xfId="0" applyNumberFormat="1" applyFont="1" applyFill="1" applyBorder="1" applyAlignment="1" applyProtection="1">
      <alignment horizontal="right"/>
    </xf>
    <xf numFmtId="0" fontId="8" fillId="4" borderId="3" xfId="0" applyFont="1" applyFill="1" applyBorder="1" applyAlignment="1">
      <alignment horizontal="left" vertical="center"/>
    </xf>
    <xf numFmtId="0" fontId="6" fillId="4" borderId="3" xfId="0" applyFont="1" applyFill="1" applyBorder="1" applyAlignment="1">
      <alignment horizontal="left" vertical="center"/>
    </xf>
    <xf numFmtId="0" fontId="4" fillId="3" borderId="1" xfId="0" applyFont="1" applyFill="1" applyBorder="1" applyAlignment="1">
      <alignment horizontal="center" vertical="center"/>
    </xf>
    <xf numFmtId="37" fontId="4" fillId="3" borderId="1" xfId="0" applyNumberFormat="1" applyFont="1" applyFill="1" applyBorder="1" applyAlignment="1" applyProtection="1">
      <alignment horizontal="center" vertical="center"/>
    </xf>
    <xf numFmtId="0" fontId="5" fillId="0" borderId="1" xfId="0" applyFont="1" applyBorder="1" applyAlignment="1">
      <alignment vertical="center"/>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49" fontId="4" fillId="3" borderId="5" xfId="0" applyNumberFormat="1" applyFont="1" applyFill="1" applyBorder="1" applyAlignment="1">
      <alignment horizontal="center" vertical="center"/>
    </xf>
    <xf numFmtId="0" fontId="8" fillId="4" borderId="0" xfId="0" applyFont="1" applyFill="1" applyBorder="1" applyAlignment="1">
      <alignment horizontal="center" vertical="center"/>
    </xf>
    <xf numFmtId="0" fontId="0" fillId="4" borderId="0" xfId="0" applyFill="1" applyAlignment="1">
      <alignment horizontal="center" vertical="center"/>
    </xf>
    <xf numFmtId="0" fontId="6" fillId="4" borderId="7" xfId="0" applyFont="1" applyFill="1" applyBorder="1" applyAlignment="1">
      <alignment horizontal="left" vertical="center"/>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167" fontId="1" fillId="0" borderId="0" xfId="1" applyNumberFormat="1" applyFont="1"/>
    <xf numFmtId="165" fontId="1" fillId="0" borderId="0" xfId="0" applyNumberFormat="1" applyFont="1"/>
    <xf numFmtId="17" fontId="1" fillId="0" borderId="0" xfId="0" applyNumberFormat="1" applyFont="1" applyAlignment="1">
      <alignment horizontal="left"/>
    </xf>
    <xf numFmtId="166" fontId="1" fillId="0" borderId="0" xfId="0" applyNumberFormat="1" applyFont="1"/>
    <xf numFmtId="3" fontId="1" fillId="0" borderId="0" xfId="0" applyNumberFormat="1" applyFont="1"/>
    <xf numFmtId="169" fontId="1" fillId="0" borderId="0" xfId="1" applyNumberFormat="1" applyFont="1"/>
  </cellXfs>
  <cellStyles count="2">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6.xml"/><Relationship Id="rId299" Type="http://schemas.openxmlformats.org/officeDocument/2006/relationships/externalLink" Target="externalLinks/externalLink298.xml"/><Relationship Id="rId21" Type="http://schemas.openxmlformats.org/officeDocument/2006/relationships/externalLink" Target="externalLinks/externalLink20.xml"/><Relationship Id="rId63" Type="http://schemas.openxmlformats.org/officeDocument/2006/relationships/externalLink" Target="externalLinks/externalLink62.xml"/><Relationship Id="rId159" Type="http://schemas.openxmlformats.org/officeDocument/2006/relationships/externalLink" Target="externalLinks/externalLink158.xml"/><Relationship Id="rId324" Type="http://schemas.openxmlformats.org/officeDocument/2006/relationships/externalLink" Target="externalLinks/externalLink323.xml"/><Relationship Id="rId366" Type="http://schemas.openxmlformats.org/officeDocument/2006/relationships/externalLink" Target="externalLinks/externalLink365.xml"/><Relationship Id="rId170" Type="http://schemas.openxmlformats.org/officeDocument/2006/relationships/externalLink" Target="externalLinks/externalLink169.xml"/><Relationship Id="rId226" Type="http://schemas.openxmlformats.org/officeDocument/2006/relationships/externalLink" Target="externalLinks/externalLink225.xml"/><Relationship Id="rId268" Type="http://schemas.openxmlformats.org/officeDocument/2006/relationships/externalLink" Target="externalLinks/externalLink267.xml"/><Relationship Id="rId32" Type="http://schemas.openxmlformats.org/officeDocument/2006/relationships/externalLink" Target="externalLinks/externalLink31.xml"/><Relationship Id="rId74" Type="http://schemas.openxmlformats.org/officeDocument/2006/relationships/externalLink" Target="externalLinks/externalLink73.xml"/><Relationship Id="rId128" Type="http://schemas.openxmlformats.org/officeDocument/2006/relationships/externalLink" Target="externalLinks/externalLink127.xml"/><Relationship Id="rId335" Type="http://schemas.openxmlformats.org/officeDocument/2006/relationships/externalLink" Target="externalLinks/externalLink334.xml"/><Relationship Id="rId377" Type="http://schemas.openxmlformats.org/officeDocument/2006/relationships/externalLink" Target="externalLinks/externalLink376.xml"/><Relationship Id="rId5" Type="http://schemas.openxmlformats.org/officeDocument/2006/relationships/externalLink" Target="externalLinks/externalLink4.xml"/><Relationship Id="rId181" Type="http://schemas.openxmlformats.org/officeDocument/2006/relationships/externalLink" Target="externalLinks/externalLink180.xml"/><Relationship Id="rId237" Type="http://schemas.openxmlformats.org/officeDocument/2006/relationships/externalLink" Target="externalLinks/externalLink236.xml"/><Relationship Id="rId279" Type="http://schemas.openxmlformats.org/officeDocument/2006/relationships/externalLink" Target="externalLinks/externalLink278.xml"/><Relationship Id="rId43" Type="http://schemas.openxmlformats.org/officeDocument/2006/relationships/externalLink" Target="externalLinks/externalLink42.xml"/><Relationship Id="rId139" Type="http://schemas.openxmlformats.org/officeDocument/2006/relationships/externalLink" Target="externalLinks/externalLink138.xml"/><Relationship Id="rId290" Type="http://schemas.openxmlformats.org/officeDocument/2006/relationships/externalLink" Target="externalLinks/externalLink289.xml"/><Relationship Id="rId304" Type="http://schemas.openxmlformats.org/officeDocument/2006/relationships/externalLink" Target="externalLinks/externalLink303.xml"/><Relationship Id="rId346" Type="http://schemas.openxmlformats.org/officeDocument/2006/relationships/externalLink" Target="externalLinks/externalLink345.xml"/><Relationship Id="rId388" Type="http://schemas.openxmlformats.org/officeDocument/2006/relationships/styles" Target="styles.xml"/><Relationship Id="rId85" Type="http://schemas.openxmlformats.org/officeDocument/2006/relationships/externalLink" Target="externalLinks/externalLink84.xml"/><Relationship Id="rId150" Type="http://schemas.openxmlformats.org/officeDocument/2006/relationships/externalLink" Target="externalLinks/externalLink149.xml"/><Relationship Id="rId192" Type="http://schemas.openxmlformats.org/officeDocument/2006/relationships/externalLink" Target="externalLinks/externalLink191.xml"/><Relationship Id="rId206" Type="http://schemas.openxmlformats.org/officeDocument/2006/relationships/externalLink" Target="externalLinks/externalLink205.xml"/><Relationship Id="rId248" Type="http://schemas.openxmlformats.org/officeDocument/2006/relationships/externalLink" Target="externalLinks/externalLink247.xml"/><Relationship Id="rId12" Type="http://schemas.openxmlformats.org/officeDocument/2006/relationships/externalLink" Target="externalLinks/externalLink11.xml"/><Relationship Id="rId108" Type="http://schemas.openxmlformats.org/officeDocument/2006/relationships/externalLink" Target="externalLinks/externalLink107.xml"/><Relationship Id="rId315" Type="http://schemas.openxmlformats.org/officeDocument/2006/relationships/externalLink" Target="externalLinks/externalLink314.xml"/><Relationship Id="rId357" Type="http://schemas.openxmlformats.org/officeDocument/2006/relationships/externalLink" Target="externalLinks/externalLink356.xml"/><Relationship Id="rId54" Type="http://schemas.openxmlformats.org/officeDocument/2006/relationships/externalLink" Target="externalLinks/externalLink53.xml"/><Relationship Id="rId96" Type="http://schemas.openxmlformats.org/officeDocument/2006/relationships/externalLink" Target="externalLinks/externalLink95.xml"/><Relationship Id="rId161" Type="http://schemas.openxmlformats.org/officeDocument/2006/relationships/externalLink" Target="externalLinks/externalLink160.xml"/><Relationship Id="rId217" Type="http://schemas.openxmlformats.org/officeDocument/2006/relationships/externalLink" Target="externalLinks/externalLink216.xml"/><Relationship Id="rId259" Type="http://schemas.openxmlformats.org/officeDocument/2006/relationships/externalLink" Target="externalLinks/externalLink258.xml"/><Relationship Id="rId23" Type="http://schemas.openxmlformats.org/officeDocument/2006/relationships/externalLink" Target="externalLinks/externalLink22.xml"/><Relationship Id="rId119" Type="http://schemas.openxmlformats.org/officeDocument/2006/relationships/externalLink" Target="externalLinks/externalLink118.xml"/><Relationship Id="rId270" Type="http://schemas.openxmlformats.org/officeDocument/2006/relationships/externalLink" Target="externalLinks/externalLink269.xml"/><Relationship Id="rId326" Type="http://schemas.openxmlformats.org/officeDocument/2006/relationships/externalLink" Target="externalLinks/externalLink325.xml"/><Relationship Id="rId65" Type="http://schemas.openxmlformats.org/officeDocument/2006/relationships/externalLink" Target="externalLinks/externalLink64.xml"/><Relationship Id="rId130" Type="http://schemas.openxmlformats.org/officeDocument/2006/relationships/externalLink" Target="externalLinks/externalLink129.xml"/><Relationship Id="rId368" Type="http://schemas.openxmlformats.org/officeDocument/2006/relationships/externalLink" Target="externalLinks/externalLink367.xml"/><Relationship Id="rId172" Type="http://schemas.openxmlformats.org/officeDocument/2006/relationships/externalLink" Target="externalLinks/externalLink171.xml"/><Relationship Id="rId228" Type="http://schemas.openxmlformats.org/officeDocument/2006/relationships/externalLink" Target="externalLinks/externalLink227.xml"/><Relationship Id="rId281" Type="http://schemas.openxmlformats.org/officeDocument/2006/relationships/externalLink" Target="externalLinks/externalLink280.xml"/><Relationship Id="rId337" Type="http://schemas.openxmlformats.org/officeDocument/2006/relationships/externalLink" Target="externalLinks/externalLink336.xml"/><Relationship Id="rId34" Type="http://schemas.openxmlformats.org/officeDocument/2006/relationships/externalLink" Target="externalLinks/externalLink33.xml"/><Relationship Id="rId76" Type="http://schemas.openxmlformats.org/officeDocument/2006/relationships/externalLink" Target="externalLinks/externalLink75.xml"/><Relationship Id="rId141" Type="http://schemas.openxmlformats.org/officeDocument/2006/relationships/externalLink" Target="externalLinks/externalLink140.xml"/><Relationship Id="rId379" Type="http://schemas.openxmlformats.org/officeDocument/2006/relationships/externalLink" Target="externalLinks/externalLink378.xml"/><Relationship Id="rId7" Type="http://schemas.openxmlformats.org/officeDocument/2006/relationships/externalLink" Target="externalLinks/externalLink6.xml"/><Relationship Id="rId183" Type="http://schemas.openxmlformats.org/officeDocument/2006/relationships/externalLink" Target="externalLinks/externalLink182.xml"/><Relationship Id="rId239" Type="http://schemas.openxmlformats.org/officeDocument/2006/relationships/externalLink" Target="externalLinks/externalLink238.xml"/><Relationship Id="rId390" Type="http://schemas.openxmlformats.org/officeDocument/2006/relationships/calcChain" Target="calcChain.xml"/><Relationship Id="rId250" Type="http://schemas.openxmlformats.org/officeDocument/2006/relationships/externalLink" Target="externalLinks/externalLink249.xml"/><Relationship Id="rId292" Type="http://schemas.openxmlformats.org/officeDocument/2006/relationships/externalLink" Target="externalLinks/externalLink291.xml"/><Relationship Id="rId306" Type="http://schemas.openxmlformats.org/officeDocument/2006/relationships/externalLink" Target="externalLinks/externalLink305.xml"/><Relationship Id="rId45" Type="http://schemas.openxmlformats.org/officeDocument/2006/relationships/externalLink" Target="externalLinks/externalLink44.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348" Type="http://schemas.openxmlformats.org/officeDocument/2006/relationships/externalLink" Target="externalLinks/externalLink347.xml"/><Relationship Id="rId152" Type="http://schemas.openxmlformats.org/officeDocument/2006/relationships/externalLink" Target="externalLinks/externalLink151.xml"/><Relationship Id="rId194" Type="http://schemas.openxmlformats.org/officeDocument/2006/relationships/externalLink" Target="externalLinks/externalLink193.xml"/><Relationship Id="rId208" Type="http://schemas.openxmlformats.org/officeDocument/2006/relationships/externalLink" Target="externalLinks/externalLink207.xml"/><Relationship Id="rId261" Type="http://schemas.openxmlformats.org/officeDocument/2006/relationships/externalLink" Target="externalLinks/externalLink260.xml"/><Relationship Id="rId14" Type="http://schemas.openxmlformats.org/officeDocument/2006/relationships/externalLink" Target="externalLinks/externalLink13.xml"/><Relationship Id="rId56" Type="http://schemas.openxmlformats.org/officeDocument/2006/relationships/externalLink" Target="externalLinks/externalLink55.xml"/><Relationship Id="rId317" Type="http://schemas.openxmlformats.org/officeDocument/2006/relationships/externalLink" Target="externalLinks/externalLink316.xml"/><Relationship Id="rId359" Type="http://schemas.openxmlformats.org/officeDocument/2006/relationships/externalLink" Target="externalLinks/externalLink358.xml"/><Relationship Id="rId98" Type="http://schemas.openxmlformats.org/officeDocument/2006/relationships/externalLink" Target="externalLinks/externalLink97.xml"/><Relationship Id="rId121" Type="http://schemas.openxmlformats.org/officeDocument/2006/relationships/externalLink" Target="externalLinks/externalLink120.xml"/><Relationship Id="rId163" Type="http://schemas.openxmlformats.org/officeDocument/2006/relationships/externalLink" Target="externalLinks/externalLink162.xml"/><Relationship Id="rId219" Type="http://schemas.openxmlformats.org/officeDocument/2006/relationships/externalLink" Target="externalLinks/externalLink218.xml"/><Relationship Id="rId370" Type="http://schemas.openxmlformats.org/officeDocument/2006/relationships/externalLink" Target="externalLinks/externalLink369.xml"/><Relationship Id="rId230" Type="http://schemas.openxmlformats.org/officeDocument/2006/relationships/externalLink" Target="externalLinks/externalLink229.xml"/><Relationship Id="rId25" Type="http://schemas.openxmlformats.org/officeDocument/2006/relationships/externalLink" Target="externalLinks/externalLink24.xml"/><Relationship Id="rId67" Type="http://schemas.openxmlformats.org/officeDocument/2006/relationships/externalLink" Target="externalLinks/externalLink66.xml"/><Relationship Id="rId272" Type="http://schemas.openxmlformats.org/officeDocument/2006/relationships/externalLink" Target="externalLinks/externalLink271.xml"/><Relationship Id="rId328" Type="http://schemas.openxmlformats.org/officeDocument/2006/relationships/externalLink" Target="externalLinks/externalLink327.xml"/><Relationship Id="rId132" Type="http://schemas.openxmlformats.org/officeDocument/2006/relationships/externalLink" Target="externalLinks/externalLink131.xml"/><Relationship Id="rId174" Type="http://schemas.openxmlformats.org/officeDocument/2006/relationships/externalLink" Target="externalLinks/externalLink173.xml"/><Relationship Id="rId381" Type="http://schemas.openxmlformats.org/officeDocument/2006/relationships/externalLink" Target="externalLinks/externalLink380.xml"/><Relationship Id="rId241" Type="http://schemas.openxmlformats.org/officeDocument/2006/relationships/externalLink" Target="externalLinks/externalLink240.xml"/><Relationship Id="rId36" Type="http://schemas.openxmlformats.org/officeDocument/2006/relationships/externalLink" Target="externalLinks/externalLink35.xml"/><Relationship Id="rId283" Type="http://schemas.openxmlformats.org/officeDocument/2006/relationships/externalLink" Target="externalLinks/externalLink282.xml"/><Relationship Id="rId339" Type="http://schemas.openxmlformats.org/officeDocument/2006/relationships/externalLink" Target="externalLinks/externalLink338.xml"/><Relationship Id="rId78" Type="http://schemas.openxmlformats.org/officeDocument/2006/relationships/externalLink" Target="externalLinks/externalLink77.xml"/><Relationship Id="rId101" Type="http://schemas.openxmlformats.org/officeDocument/2006/relationships/externalLink" Target="externalLinks/externalLink100.xml"/><Relationship Id="rId143" Type="http://schemas.openxmlformats.org/officeDocument/2006/relationships/externalLink" Target="externalLinks/externalLink142.xml"/><Relationship Id="rId185" Type="http://schemas.openxmlformats.org/officeDocument/2006/relationships/externalLink" Target="externalLinks/externalLink184.xml"/><Relationship Id="rId350" Type="http://schemas.openxmlformats.org/officeDocument/2006/relationships/externalLink" Target="externalLinks/externalLink349.xml"/><Relationship Id="rId9" Type="http://schemas.openxmlformats.org/officeDocument/2006/relationships/externalLink" Target="externalLinks/externalLink8.xml"/><Relationship Id="rId210" Type="http://schemas.openxmlformats.org/officeDocument/2006/relationships/externalLink" Target="externalLinks/externalLink209.xml"/><Relationship Id="rId252" Type="http://schemas.openxmlformats.org/officeDocument/2006/relationships/externalLink" Target="externalLinks/externalLink251.xml"/><Relationship Id="rId294" Type="http://schemas.openxmlformats.org/officeDocument/2006/relationships/externalLink" Target="externalLinks/externalLink293.xml"/><Relationship Id="rId308" Type="http://schemas.openxmlformats.org/officeDocument/2006/relationships/externalLink" Target="externalLinks/externalLink307.xml"/><Relationship Id="rId47" Type="http://schemas.openxmlformats.org/officeDocument/2006/relationships/externalLink" Target="externalLinks/externalLink46.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54" Type="http://schemas.openxmlformats.org/officeDocument/2006/relationships/externalLink" Target="externalLinks/externalLink153.xml"/><Relationship Id="rId361" Type="http://schemas.openxmlformats.org/officeDocument/2006/relationships/externalLink" Target="externalLinks/externalLink360.xml"/><Relationship Id="rId196" Type="http://schemas.openxmlformats.org/officeDocument/2006/relationships/externalLink" Target="externalLinks/externalLink195.xml"/><Relationship Id="rId200" Type="http://schemas.openxmlformats.org/officeDocument/2006/relationships/externalLink" Target="externalLinks/externalLink199.xml"/><Relationship Id="rId382" Type="http://schemas.openxmlformats.org/officeDocument/2006/relationships/externalLink" Target="externalLinks/externalLink381.xml"/><Relationship Id="rId16" Type="http://schemas.openxmlformats.org/officeDocument/2006/relationships/externalLink" Target="externalLinks/externalLink15.xml"/><Relationship Id="rId221" Type="http://schemas.openxmlformats.org/officeDocument/2006/relationships/externalLink" Target="externalLinks/externalLink220.xml"/><Relationship Id="rId242" Type="http://schemas.openxmlformats.org/officeDocument/2006/relationships/externalLink" Target="externalLinks/externalLink241.xml"/><Relationship Id="rId263" Type="http://schemas.openxmlformats.org/officeDocument/2006/relationships/externalLink" Target="externalLinks/externalLink262.xml"/><Relationship Id="rId284" Type="http://schemas.openxmlformats.org/officeDocument/2006/relationships/externalLink" Target="externalLinks/externalLink283.xml"/><Relationship Id="rId319" Type="http://schemas.openxmlformats.org/officeDocument/2006/relationships/externalLink" Target="externalLinks/externalLink318.xml"/><Relationship Id="rId37" Type="http://schemas.openxmlformats.org/officeDocument/2006/relationships/externalLink" Target="externalLinks/externalLink36.xml"/><Relationship Id="rId58" Type="http://schemas.openxmlformats.org/officeDocument/2006/relationships/externalLink" Target="externalLinks/externalLink57.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123" Type="http://schemas.openxmlformats.org/officeDocument/2006/relationships/externalLink" Target="externalLinks/externalLink122.xml"/><Relationship Id="rId144" Type="http://schemas.openxmlformats.org/officeDocument/2006/relationships/externalLink" Target="externalLinks/externalLink143.xml"/><Relationship Id="rId330" Type="http://schemas.openxmlformats.org/officeDocument/2006/relationships/externalLink" Target="externalLinks/externalLink329.xml"/><Relationship Id="rId90" Type="http://schemas.openxmlformats.org/officeDocument/2006/relationships/externalLink" Target="externalLinks/externalLink89.xml"/><Relationship Id="rId165" Type="http://schemas.openxmlformats.org/officeDocument/2006/relationships/externalLink" Target="externalLinks/externalLink164.xml"/><Relationship Id="rId186" Type="http://schemas.openxmlformats.org/officeDocument/2006/relationships/externalLink" Target="externalLinks/externalLink185.xml"/><Relationship Id="rId351" Type="http://schemas.openxmlformats.org/officeDocument/2006/relationships/externalLink" Target="externalLinks/externalLink350.xml"/><Relationship Id="rId372" Type="http://schemas.openxmlformats.org/officeDocument/2006/relationships/externalLink" Target="externalLinks/externalLink371.xml"/><Relationship Id="rId211" Type="http://schemas.openxmlformats.org/officeDocument/2006/relationships/externalLink" Target="externalLinks/externalLink210.xml"/><Relationship Id="rId232" Type="http://schemas.openxmlformats.org/officeDocument/2006/relationships/externalLink" Target="externalLinks/externalLink231.xml"/><Relationship Id="rId253" Type="http://schemas.openxmlformats.org/officeDocument/2006/relationships/externalLink" Target="externalLinks/externalLink252.xml"/><Relationship Id="rId274" Type="http://schemas.openxmlformats.org/officeDocument/2006/relationships/externalLink" Target="externalLinks/externalLink273.xml"/><Relationship Id="rId295" Type="http://schemas.openxmlformats.org/officeDocument/2006/relationships/externalLink" Target="externalLinks/externalLink294.xml"/><Relationship Id="rId309" Type="http://schemas.openxmlformats.org/officeDocument/2006/relationships/externalLink" Target="externalLinks/externalLink308.xml"/><Relationship Id="rId27" Type="http://schemas.openxmlformats.org/officeDocument/2006/relationships/externalLink" Target="externalLinks/externalLink26.xml"/><Relationship Id="rId48" Type="http://schemas.openxmlformats.org/officeDocument/2006/relationships/externalLink" Target="externalLinks/externalLink47.xml"/><Relationship Id="rId69" Type="http://schemas.openxmlformats.org/officeDocument/2006/relationships/externalLink" Target="externalLinks/externalLink68.xml"/><Relationship Id="rId113" Type="http://schemas.openxmlformats.org/officeDocument/2006/relationships/externalLink" Target="externalLinks/externalLink112.xml"/><Relationship Id="rId134" Type="http://schemas.openxmlformats.org/officeDocument/2006/relationships/externalLink" Target="externalLinks/externalLink133.xml"/><Relationship Id="rId320" Type="http://schemas.openxmlformats.org/officeDocument/2006/relationships/externalLink" Target="externalLinks/externalLink319.xml"/><Relationship Id="rId80" Type="http://schemas.openxmlformats.org/officeDocument/2006/relationships/externalLink" Target="externalLinks/externalLink79.xml"/><Relationship Id="rId155" Type="http://schemas.openxmlformats.org/officeDocument/2006/relationships/externalLink" Target="externalLinks/externalLink154.xml"/><Relationship Id="rId176" Type="http://schemas.openxmlformats.org/officeDocument/2006/relationships/externalLink" Target="externalLinks/externalLink175.xml"/><Relationship Id="rId197" Type="http://schemas.openxmlformats.org/officeDocument/2006/relationships/externalLink" Target="externalLinks/externalLink196.xml"/><Relationship Id="rId341" Type="http://schemas.openxmlformats.org/officeDocument/2006/relationships/externalLink" Target="externalLinks/externalLink340.xml"/><Relationship Id="rId362" Type="http://schemas.openxmlformats.org/officeDocument/2006/relationships/externalLink" Target="externalLinks/externalLink361.xml"/><Relationship Id="rId383" Type="http://schemas.openxmlformats.org/officeDocument/2006/relationships/externalLink" Target="externalLinks/externalLink382.xml"/><Relationship Id="rId201" Type="http://schemas.openxmlformats.org/officeDocument/2006/relationships/externalLink" Target="externalLinks/externalLink200.xml"/><Relationship Id="rId222" Type="http://schemas.openxmlformats.org/officeDocument/2006/relationships/externalLink" Target="externalLinks/externalLink221.xml"/><Relationship Id="rId243" Type="http://schemas.openxmlformats.org/officeDocument/2006/relationships/externalLink" Target="externalLinks/externalLink242.xml"/><Relationship Id="rId264" Type="http://schemas.openxmlformats.org/officeDocument/2006/relationships/externalLink" Target="externalLinks/externalLink263.xml"/><Relationship Id="rId285" Type="http://schemas.openxmlformats.org/officeDocument/2006/relationships/externalLink" Target="externalLinks/externalLink284.xml"/><Relationship Id="rId17" Type="http://schemas.openxmlformats.org/officeDocument/2006/relationships/externalLink" Target="externalLinks/externalLink16.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24" Type="http://schemas.openxmlformats.org/officeDocument/2006/relationships/externalLink" Target="externalLinks/externalLink123.xml"/><Relationship Id="rId310" Type="http://schemas.openxmlformats.org/officeDocument/2006/relationships/externalLink" Target="externalLinks/externalLink309.xml"/><Relationship Id="rId70" Type="http://schemas.openxmlformats.org/officeDocument/2006/relationships/externalLink" Target="externalLinks/externalLink69.xml"/><Relationship Id="rId91" Type="http://schemas.openxmlformats.org/officeDocument/2006/relationships/externalLink" Target="externalLinks/externalLink90.xml"/><Relationship Id="rId145" Type="http://schemas.openxmlformats.org/officeDocument/2006/relationships/externalLink" Target="externalLinks/externalLink144.xml"/><Relationship Id="rId166" Type="http://schemas.openxmlformats.org/officeDocument/2006/relationships/externalLink" Target="externalLinks/externalLink165.xml"/><Relationship Id="rId187" Type="http://schemas.openxmlformats.org/officeDocument/2006/relationships/externalLink" Target="externalLinks/externalLink186.xml"/><Relationship Id="rId331" Type="http://schemas.openxmlformats.org/officeDocument/2006/relationships/externalLink" Target="externalLinks/externalLink330.xml"/><Relationship Id="rId352" Type="http://schemas.openxmlformats.org/officeDocument/2006/relationships/externalLink" Target="externalLinks/externalLink351.xml"/><Relationship Id="rId373" Type="http://schemas.openxmlformats.org/officeDocument/2006/relationships/externalLink" Target="externalLinks/externalLink372.xml"/><Relationship Id="rId1" Type="http://schemas.openxmlformats.org/officeDocument/2006/relationships/worksheet" Target="worksheets/sheet1.xml"/><Relationship Id="rId212" Type="http://schemas.openxmlformats.org/officeDocument/2006/relationships/externalLink" Target="externalLinks/externalLink211.xml"/><Relationship Id="rId233" Type="http://schemas.openxmlformats.org/officeDocument/2006/relationships/externalLink" Target="externalLinks/externalLink232.xml"/><Relationship Id="rId254" Type="http://schemas.openxmlformats.org/officeDocument/2006/relationships/externalLink" Target="externalLinks/externalLink253.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externalLink" Target="externalLinks/externalLink113.xml"/><Relationship Id="rId275" Type="http://schemas.openxmlformats.org/officeDocument/2006/relationships/externalLink" Target="externalLinks/externalLink274.xml"/><Relationship Id="rId296" Type="http://schemas.openxmlformats.org/officeDocument/2006/relationships/externalLink" Target="externalLinks/externalLink295.xml"/><Relationship Id="rId300" Type="http://schemas.openxmlformats.org/officeDocument/2006/relationships/externalLink" Target="externalLinks/externalLink299.xml"/><Relationship Id="rId60" Type="http://schemas.openxmlformats.org/officeDocument/2006/relationships/externalLink" Target="externalLinks/externalLink59.xml"/><Relationship Id="rId81" Type="http://schemas.openxmlformats.org/officeDocument/2006/relationships/externalLink" Target="externalLinks/externalLink80.xml"/><Relationship Id="rId135" Type="http://schemas.openxmlformats.org/officeDocument/2006/relationships/externalLink" Target="externalLinks/externalLink134.xml"/><Relationship Id="rId156" Type="http://schemas.openxmlformats.org/officeDocument/2006/relationships/externalLink" Target="externalLinks/externalLink155.xml"/><Relationship Id="rId177" Type="http://schemas.openxmlformats.org/officeDocument/2006/relationships/externalLink" Target="externalLinks/externalLink176.xml"/><Relationship Id="rId198" Type="http://schemas.openxmlformats.org/officeDocument/2006/relationships/externalLink" Target="externalLinks/externalLink197.xml"/><Relationship Id="rId321" Type="http://schemas.openxmlformats.org/officeDocument/2006/relationships/externalLink" Target="externalLinks/externalLink320.xml"/><Relationship Id="rId342" Type="http://schemas.openxmlformats.org/officeDocument/2006/relationships/externalLink" Target="externalLinks/externalLink341.xml"/><Relationship Id="rId363" Type="http://schemas.openxmlformats.org/officeDocument/2006/relationships/externalLink" Target="externalLinks/externalLink362.xml"/><Relationship Id="rId384" Type="http://schemas.openxmlformats.org/officeDocument/2006/relationships/externalLink" Target="externalLinks/externalLink383.xml"/><Relationship Id="rId202" Type="http://schemas.openxmlformats.org/officeDocument/2006/relationships/externalLink" Target="externalLinks/externalLink201.xml"/><Relationship Id="rId223" Type="http://schemas.openxmlformats.org/officeDocument/2006/relationships/externalLink" Target="externalLinks/externalLink222.xml"/><Relationship Id="rId244" Type="http://schemas.openxmlformats.org/officeDocument/2006/relationships/externalLink" Target="externalLinks/externalLink243.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265" Type="http://schemas.openxmlformats.org/officeDocument/2006/relationships/externalLink" Target="externalLinks/externalLink264.xml"/><Relationship Id="rId286" Type="http://schemas.openxmlformats.org/officeDocument/2006/relationships/externalLink" Target="externalLinks/externalLink285.xml"/><Relationship Id="rId50" Type="http://schemas.openxmlformats.org/officeDocument/2006/relationships/externalLink" Target="externalLinks/externalLink49.xml"/><Relationship Id="rId104" Type="http://schemas.openxmlformats.org/officeDocument/2006/relationships/externalLink" Target="externalLinks/externalLink103.xml"/><Relationship Id="rId125" Type="http://schemas.openxmlformats.org/officeDocument/2006/relationships/externalLink" Target="externalLinks/externalLink124.xml"/><Relationship Id="rId146" Type="http://schemas.openxmlformats.org/officeDocument/2006/relationships/externalLink" Target="externalLinks/externalLink145.xml"/><Relationship Id="rId167" Type="http://schemas.openxmlformats.org/officeDocument/2006/relationships/externalLink" Target="externalLinks/externalLink166.xml"/><Relationship Id="rId188" Type="http://schemas.openxmlformats.org/officeDocument/2006/relationships/externalLink" Target="externalLinks/externalLink187.xml"/><Relationship Id="rId311" Type="http://schemas.openxmlformats.org/officeDocument/2006/relationships/externalLink" Target="externalLinks/externalLink310.xml"/><Relationship Id="rId332" Type="http://schemas.openxmlformats.org/officeDocument/2006/relationships/externalLink" Target="externalLinks/externalLink331.xml"/><Relationship Id="rId353" Type="http://schemas.openxmlformats.org/officeDocument/2006/relationships/externalLink" Target="externalLinks/externalLink352.xml"/><Relationship Id="rId374" Type="http://schemas.openxmlformats.org/officeDocument/2006/relationships/externalLink" Target="externalLinks/externalLink373.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13" Type="http://schemas.openxmlformats.org/officeDocument/2006/relationships/externalLink" Target="externalLinks/externalLink212.xml"/><Relationship Id="rId234" Type="http://schemas.openxmlformats.org/officeDocument/2006/relationships/externalLink" Target="externalLinks/externalLink233.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55" Type="http://schemas.openxmlformats.org/officeDocument/2006/relationships/externalLink" Target="externalLinks/externalLink254.xml"/><Relationship Id="rId276" Type="http://schemas.openxmlformats.org/officeDocument/2006/relationships/externalLink" Target="externalLinks/externalLink275.xml"/><Relationship Id="rId297" Type="http://schemas.openxmlformats.org/officeDocument/2006/relationships/externalLink" Target="externalLinks/externalLink296.xml"/><Relationship Id="rId40" Type="http://schemas.openxmlformats.org/officeDocument/2006/relationships/externalLink" Target="externalLinks/externalLink39.xml"/><Relationship Id="rId115" Type="http://schemas.openxmlformats.org/officeDocument/2006/relationships/externalLink" Target="externalLinks/externalLink114.xml"/><Relationship Id="rId136" Type="http://schemas.openxmlformats.org/officeDocument/2006/relationships/externalLink" Target="externalLinks/externalLink135.xml"/><Relationship Id="rId157" Type="http://schemas.openxmlformats.org/officeDocument/2006/relationships/externalLink" Target="externalLinks/externalLink156.xml"/><Relationship Id="rId178" Type="http://schemas.openxmlformats.org/officeDocument/2006/relationships/externalLink" Target="externalLinks/externalLink177.xml"/><Relationship Id="rId301" Type="http://schemas.openxmlformats.org/officeDocument/2006/relationships/externalLink" Target="externalLinks/externalLink300.xml"/><Relationship Id="rId322" Type="http://schemas.openxmlformats.org/officeDocument/2006/relationships/externalLink" Target="externalLinks/externalLink321.xml"/><Relationship Id="rId343" Type="http://schemas.openxmlformats.org/officeDocument/2006/relationships/externalLink" Target="externalLinks/externalLink342.xml"/><Relationship Id="rId364" Type="http://schemas.openxmlformats.org/officeDocument/2006/relationships/externalLink" Target="externalLinks/externalLink363.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99" Type="http://schemas.openxmlformats.org/officeDocument/2006/relationships/externalLink" Target="externalLinks/externalLink198.xml"/><Relationship Id="rId203" Type="http://schemas.openxmlformats.org/officeDocument/2006/relationships/externalLink" Target="externalLinks/externalLink202.xml"/><Relationship Id="rId385" Type="http://schemas.openxmlformats.org/officeDocument/2006/relationships/externalLink" Target="externalLinks/externalLink384.xml"/><Relationship Id="rId19" Type="http://schemas.openxmlformats.org/officeDocument/2006/relationships/externalLink" Target="externalLinks/externalLink18.xml"/><Relationship Id="rId224" Type="http://schemas.openxmlformats.org/officeDocument/2006/relationships/externalLink" Target="externalLinks/externalLink223.xml"/><Relationship Id="rId245" Type="http://schemas.openxmlformats.org/officeDocument/2006/relationships/externalLink" Target="externalLinks/externalLink244.xml"/><Relationship Id="rId266" Type="http://schemas.openxmlformats.org/officeDocument/2006/relationships/externalLink" Target="externalLinks/externalLink265.xml"/><Relationship Id="rId287" Type="http://schemas.openxmlformats.org/officeDocument/2006/relationships/externalLink" Target="externalLinks/externalLink286.xml"/><Relationship Id="rId30" Type="http://schemas.openxmlformats.org/officeDocument/2006/relationships/externalLink" Target="externalLinks/externalLink29.xml"/><Relationship Id="rId105" Type="http://schemas.openxmlformats.org/officeDocument/2006/relationships/externalLink" Target="externalLinks/externalLink104.xml"/><Relationship Id="rId126" Type="http://schemas.openxmlformats.org/officeDocument/2006/relationships/externalLink" Target="externalLinks/externalLink125.xml"/><Relationship Id="rId147" Type="http://schemas.openxmlformats.org/officeDocument/2006/relationships/externalLink" Target="externalLinks/externalLink146.xml"/><Relationship Id="rId168" Type="http://schemas.openxmlformats.org/officeDocument/2006/relationships/externalLink" Target="externalLinks/externalLink167.xml"/><Relationship Id="rId312" Type="http://schemas.openxmlformats.org/officeDocument/2006/relationships/externalLink" Target="externalLinks/externalLink311.xml"/><Relationship Id="rId333" Type="http://schemas.openxmlformats.org/officeDocument/2006/relationships/externalLink" Target="externalLinks/externalLink332.xml"/><Relationship Id="rId354" Type="http://schemas.openxmlformats.org/officeDocument/2006/relationships/externalLink" Target="externalLinks/externalLink353.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189" Type="http://schemas.openxmlformats.org/officeDocument/2006/relationships/externalLink" Target="externalLinks/externalLink188.xml"/><Relationship Id="rId375" Type="http://schemas.openxmlformats.org/officeDocument/2006/relationships/externalLink" Target="externalLinks/externalLink374.xml"/><Relationship Id="rId3" Type="http://schemas.openxmlformats.org/officeDocument/2006/relationships/externalLink" Target="externalLinks/externalLink2.xml"/><Relationship Id="rId214" Type="http://schemas.openxmlformats.org/officeDocument/2006/relationships/externalLink" Target="externalLinks/externalLink213.xml"/><Relationship Id="rId235" Type="http://schemas.openxmlformats.org/officeDocument/2006/relationships/externalLink" Target="externalLinks/externalLink234.xml"/><Relationship Id="rId256" Type="http://schemas.openxmlformats.org/officeDocument/2006/relationships/externalLink" Target="externalLinks/externalLink255.xml"/><Relationship Id="rId277" Type="http://schemas.openxmlformats.org/officeDocument/2006/relationships/externalLink" Target="externalLinks/externalLink276.xml"/><Relationship Id="rId298" Type="http://schemas.openxmlformats.org/officeDocument/2006/relationships/externalLink" Target="externalLinks/externalLink297.xml"/><Relationship Id="rId116" Type="http://schemas.openxmlformats.org/officeDocument/2006/relationships/externalLink" Target="externalLinks/externalLink115.xml"/><Relationship Id="rId137" Type="http://schemas.openxmlformats.org/officeDocument/2006/relationships/externalLink" Target="externalLinks/externalLink136.xml"/><Relationship Id="rId158" Type="http://schemas.openxmlformats.org/officeDocument/2006/relationships/externalLink" Target="externalLinks/externalLink157.xml"/><Relationship Id="rId302" Type="http://schemas.openxmlformats.org/officeDocument/2006/relationships/externalLink" Target="externalLinks/externalLink301.xml"/><Relationship Id="rId323" Type="http://schemas.openxmlformats.org/officeDocument/2006/relationships/externalLink" Target="externalLinks/externalLink322.xml"/><Relationship Id="rId344" Type="http://schemas.openxmlformats.org/officeDocument/2006/relationships/externalLink" Target="externalLinks/externalLink343.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179" Type="http://schemas.openxmlformats.org/officeDocument/2006/relationships/externalLink" Target="externalLinks/externalLink178.xml"/><Relationship Id="rId365" Type="http://schemas.openxmlformats.org/officeDocument/2006/relationships/externalLink" Target="externalLinks/externalLink364.xml"/><Relationship Id="rId386" Type="http://schemas.openxmlformats.org/officeDocument/2006/relationships/externalLink" Target="externalLinks/externalLink385.xml"/><Relationship Id="rId190" Type="http://schemas.openxmlformats.org/officeDocument/2006/relationships/externalLink" Target="externalLinks/externalLink189.xml"/><Relationship Id="rId204" Type="http://schemas.openxmlformats.org/officeDocument/2006/relationships/externalLink" Target="externalLinks/externalLink203.xml"/><Relationship Id="rId225" Type="http://schemas.openxmlformats.org/officeDocument/2006/relationships/externalLink" Target="externalLinks/externalLink224.xml"/><Relationship Id="rId246" Type="http://schemas.openxmlformats.org/officeDocument/2006/relationships/externalLink" Target="externalLinks/externalLink245.xml"/><Relationship Id="rId267" Type="http://schemas.openxmlformats.org/officeDocument/2006/relationships/externalLink" Target="externalLinks/externalLink266.xml"/><Relationship Id="rId288" Type="http://schemas.openxmlformats.org/officeDocument/2006/relationships/externalLink" Target="externalLinks/externalLink287.xml"/><Relationship Id="rId106" Type="http://schemas.openxmlformats.org/officeDocument/2006/relationships/externalLink" Target="externalLinks/externalLink105.xml"/><Relationship Id="rId127" Type="http://schemas.openxmlformats.org/officeDocument/2006/relationships/externalLink" Target="externalLinks/externalLink126.xml"/><Relationship Id="rId313" Type="http://schemas.openxmlformats.org/officeDocument/2006/relationships/externalLink" Target="externalLinks/externalLink312.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52" Type="http://schemas.openxmlformats.org/officeDocument/2006/relationships/externalLink" Target="externalLinks/externalLink51.xml"/><Relationship Id="rId73" Type="http://schemas.openxmlformats.org/officeDocument/2006/relationships/externalLink" Target="externalLinks/externalLink72.xml"/><Relationship Id="rId94" Type="http://schemas.openxmlformats.org/officeDocument/2006/relationships/externalLink" Target="externalLinks/externalLink93.xml"/><Relationship Id="rId148" Type="http://schemas.openxmlformats.org/officeDocument/2006/relationships/externalLink" Target="externalLinks/externalLink147.xml"/><Relationship Id="rId169" Type="http://schemas.openxmlformats.org/officeDocument/2006/relationships/externalLink" Target="externalLinks/externalLink168.xml"/><Relationship Id="rId334" Type="http://schemas.openxmlformats.org/officeDocument/2006/relationships/externalLink" Target="externalLinks/externalLink333.xml"/><Relationship Id="rId355" Type="http://schemas.openxmlformats.org/officeDocument/2006/relationships/externalLink" Target="externalLinks/externalLink354.xml"/><Relationship Id="rId376" Type="http://schemas.openxmlformats.org/officeDocument/2006/relationships/externalLink" Target="externalLinks/externalLink375.xml"/><Relationship Id="rId4" Type="http://schemas.openxmlformats.org/officeDocument/2006/relationships/externalLink" Target="externalLinks/externalLink3.xml"/><Relationship Id="rId180" Type="http://schemas.openxmlformats.org/officeDocument/2006/relationships/externalLink" Target="externalLinks/externalLink179.xml"/><Relationship Id="rId215" Type="http://schemas.openxmlformats.org/officeDocument/2006/relationships/externalLink" Target="externalLinks/externalLink214.xml"/><Relationship Id="rId236" Type="http://schemas.openxmlformats.org/officeDocument/2006/relationships/externalLink" Target="externalLinks/externalLink235.xml"/><Relationship Id="rId257" Type="http://schemas.openxmlformats.org/officeDocument/2006/relationships/externalLink" Target="externalLinks/externalLink256.xml"/><Relationship Id="rId278" Type="http://schemas.openxmlformats.org/officeDocument/2006/relationships/externalLink" Target="externalLinks/externalLink277.xml"/><Relationship Id="rId303" Type="http://schemas.openxmlformats.org/officeDocument/2006/relationships/externalLink" Target="externalLinks/externalLink302.xml"/><Relationship Id="rId42" Type="http://schemas.openxmlformats.org/officeDocument/2006/relationships/externalLink" Target="externalLinks/externalLink41.xml"/><Relationship Id="rId84" Type="http://schemas.openxmlformats.org/officeDocument/2006/relationships/externalLink" Target="externalLinks/externalLink83.xml"/><Relationship Id="rId138" Type="http://schemas.openxmlformats.org/officeDocument/2006/relationships/externalLink" Target="externalLinks/externalLink137.xml"/><Relationship Id="rId345" Type="http://schemas.openxmlformats.org/officeDocument/2006/relationships/externalLink" Target="externalLinks/externalLink344.xml"/><Relationship Id="rId387" Type="http://schemas.openxmlformats.org/officeDocument/2006/relationships/theme" Target="theme/theme1.xml"/><Relationship Id="rId191" Type="http://schemas.openxmlformats.org/officeDocument/2006/relationships/externalLink" Target="externalLinks/externalLink190.xml"/><Relationship Id="rId205" Type="http://schemas.openxmlformats.org/officeDocument/2006/relationships/externalLink" Target="externalLinks/externalLink204.xml"/><Relationship Id="rId247" Type="http://schemas.openxmlformats.org/officeDocument/2006/relationships/externalLink" Target="externalLinks/externalLink246.xml"/><Relationship Id="rId107" Type="http://schemas.openxmlformats.org/officeDocument/2006/relationships/externalLink" Target="externalLinks/externalLink106.xml"/><Relationship Id="rId289" Type="http://schemas.openxmlformats.org/officeDocument/2006/relationships/externalLink" Target="externalLinks/externalLink288.xml"/><Relationship Id="rId11" Type="http://schemas.openxmlformats.org/officeDocument/2006/relationships/externalLink" Target="externalLinks/externalLink10.xml"/><Relationship Id="rId53" Type="http://schemas.openxmlformats.org/officeDocument/2006/relationships/externalLink" Target="externalLinks/externalLink52.xml"/><Relationship Id="rId149" Type="http://schemas.openxmlformats.org/officeDocument/2006/relationships/externalLink" Target="externalLinks/externalLink148.xml"/><Relationship Id="rId314" Type="http://schemas.openxmlformats.org/officeDocument/2006/relationships/externalLink" Target="externalLinks/externalLink313.xml"/><Relationship Id="rId356" Type="http://schemas.openxmlformats.org/officeDocument/2006/relationships/externalLink" Target="externalLinks/externalLink355.xml"/><Relationship Id="rId95" Type="http://schemas.openxmlformats.org/officeDocument/2006/relationships/externalLink" Target="externalLinks/externalLink94.xml"/><Relationship Id="rId160" Type="http://schemas.openxmlformats.org/officeDocument/2006/relationships/externalLink" Target="externalLinks/externalLink159.xml"/><Relationship Id="rId216" Type="http://schemas.openxmlformats.org/officeDocument/2006/relationships/externalLink" Target="externalLinks/externalLink215.xml"/><Relationship Id="rId258" Type="http://schemas.openxmlformats.org/officeDocument/2006/relationships/externalLink" Target="externalLinks/externalLink257.xml"/><Relationship Id="rId22" Type="http://schemas.openxmlformats.org/officeDocument/2006/relationships/externalLink" Target="externalLinks/externalLink21.xml"/><Relationship Id="rId64" Type="http://schemas.openxmlformats.org/officeDocument/2006/relationships/externalLink" Target="externalLinks/externalLink63.xml"/><Relationship Id="rId118" Type="http://schemas.openxmlformats.org/officeDocument/2006/relationships/externalLink" Target="externalLinks/externalLink117.xml"/><Relationship Id="rId325" Type="http://schemas.openxmlformats.org/officeDocument/2006/relationships/externalLink" Target="externalLinks/externalLink324.xml"/><Relationship Id="rId367" Type="http://schemas.openxmlformats.org/officeDocument/2006/relationships/externalLink" Target="externalLinks/externalLink366.xml"/><Relationship Id="rId171" Type="http://schemas.openxmlformats.org/officeDocument/2006/relationships/externalLink" Target="externalLinks/externalLink170.xml"/><Relationship Id="rId227" Type="http://schemas.openxmlformats.org/officeDocument/2006/relationships/externalLink" Target="externalLinks/externalLink226.xml"/><Relationship Id="rId269" Type="http://schemas.openxmlformats.org/officeDocument/2006/relationships/externalLink" Target="externalLinks/externalLink268.xml"/><Relationship Id="rId33" Type="http://schemas.openxmlformats.org/officeDocument/2006/relationships/externalLink" Target="externalLinks/externalLink32.xml"/><Relationship Id="rId129" Type="http://schemas.openxmlformats.org/officeDocument/2006/relationships/externalLink" Target="externalLinks/externalLink128.xml"/><Relationship Id="rId280" Type="http://schemas.openxmlformats.org/officeDocument/2006/relationships/externalLink" Target="externalLinks/externalLink279.xml"/><Relationship Id="rId336" Type="http://schemas.openxmlformats.org/officeDocument/2006/relationships/externalLink" Target="externalLinks/externalLink335.xml"/><Relationship Id="rId75" Type="http://schemas.openxmlformats.org/officeDocument/2006/relationships/externalLink" Target="externalLinks/externalLink74.xml"/><Relationship Id="rId140" Type="http://schemas.openxmlformats.org/officeDocument/2006/relationships/externalLink" Target="externalLinks/externalLink139.xml"/><Relationship Id="rId182" Type="http://schemas.openxmlformats.org/officeDocument/2006/relationships/externalLink" Target="externalLinks/externalLink181.xml"/><Relationship Id="rId378" Type="http://schemas.openxmlformats.org/officeDocument/2006/relationships/externalLink" Target="externalLinks/externalLink377.xml"/><Relationship Id="rId6" Type="http://schemas.openxmlformats.org/officeDocument/2006/relationships/externalLink" Target="externalLinks/externalLink5.xml"/><Relationship Id="rId238" Type="http://schemas.openxmlformats.org/officeDocument/2006/relationships/externalLink" Target="externalLinks/externalLink237.xml"/><Relationship Id="rId291" Type="http://schemas.openxmlformats.org/officeDocument/2006/relationships/externalLink" Target="externalLinks/externalLink290.xml"/><Relationship Id="rId305" Type="http://schemas.openxmlformats.org/officeDocument/2006/relationships/externalLink" Target="externalLinks/externalLink304.xml"/><Relationship Id="rId347" Type="http://schemas.openxmlformats.org/officeDocument/2006/relationships/externalLink" Target="externalLinks/externalLink346.xml"/><Relationship Id="rId44" Type="http://schemas.openxmlformats.org/officeDocument/2006/relationships/externalLink" Target="externalLinks/externalLink43.xml"/><Relationship Id="rId86" Type="http://schemas.openxmlformats.org/officeDocument/2006/relationships/externalLink" Target="externalLinks/externalLink85.xml"/><Relationship Id="rId151" Type="http://schemas.openxmlformats.org/officeDocument/2006/relationships/externalLink" Target="externalLinks/externalLink150.xml"/><Relationship Id="rId389" Type="http://schemas.openxmlformats.org/officeDocument/2006/relationships/sharedStrings" Target="sharedStrings.xml"/><Relationship Id="rId193" Type="http://schemas.openxmlformats.org/officeDocument/2006/relationships/externalLink" Target="externalLinks/externalLink192.xml"/><Relationship Id="rId207" Type="http://schemas.openxmlformats.org/officeDocument/2006/relationships/externalLink" Target="externalLinks/externalLink206.xml"/><Relationship Id="rId249" Type="http://schemas.openxmlformats.org/officeDocument/2006/relationships/externalLink" Target="externalLinks/externalLink248.xml"/><Relationship Id="rId13" Type="http://schemas.openxmlformats.org/officeDocument/2006/relationships/externalLink" Target="externalLinks/externalLink12.xml"/><Relationship Id="rId109" Type="http://schemas.openxmlformats.org/officeDocument/2006/relationships/externalLink" Target="externalLinks/externalLink108.xml"/><Relationship Id="rId260" Type="http://schemas.openxmlformats.org/officeDocument/2006/relationships/externalLink" Target="externalLinks/externalLink259.xml"/><Relationship Id="rId316" Type="http://schemas.openxmlformats.org/officeDocument/2006/relationships/externalLink" Target="externalLinks/externalLink315.xml"/><Relationship Id="rId55" Type="http://schemas.openxmlformats.org/officeDocument/2006/relationships/externalLink" Target="externalLinks/externalLink54.xml"/><Relationship Id="rId97" Type="http://schemas.openxmlformats.org/officeDocument/2006/relationships/externalLink" Target="externalLinks/externalLink96.xml"/><Relationship Id="rId120" Type="http://schemas.openxmlformats.org/officeDocument/2006/relationships/externalLink" Target="externalLinks/externalLink119.xml"/><Relationship Id="rId358" Type="http://schemas.openxmlformats.org/officeDocument/2006/relationships/externalLink" Target="externalLinks/externalLink357.xml"/><Relationship Id="rId162" Type="http://schemas.openxmlformats.org/officeDocument/2006/relationships/externalLink" Target="externalLinks/externalLink161.xml"/><Relationship Id="rId218" Type="http://schemas.openxmlformats.org/officeDocument/2006/relationships/externalLink" Target="externalLinks/externalLink217.xml"/><Relationship Id="rId271" Type="http://schemas.openxmlformats.org/officeDocument/2006/relationships/externalLink" Target="externalLinks/externalLink270.xml"/><Relationship Id="rId24" Type="http://schemas.openxmlformats.org/officeDocument/2006/relationships/externalLink" Target="externalLinks/externalLink23.xml"/><Relationship Id="rId66" Type="http://schemas.openxmlformats.org/officeDocument/2006/relationships/externalLink" Target="externalLinks/externalLink65.xml"/><Relationship Id="rId131" Type="http://schemas.openxmlformats.org/officeDocument/2006/relationships/externalLink" Target="externalLinks/externalLink130.xml"/><Relationship Id="rId327" Type="http://schemas.openxmlformats.org/officeDocument/2006/relationships/externalLink" Target="externalLinks/externalLink326.xml"/><Relationship Id="rId369" Type="http://schemas.openxmlformats.org/officeDocument/2006/relationships/externalLink" Target="externalLinks/externalLink368.xml"/><Relationship Id="rId173" Type="http://schemas.openxmlformats.org/officeDocument/2006/relationships/externalLink" Target="externalLinks/externalLink172.xml"/><Relationship Id="rId229" Type="http://schemas.openxmlformats.org/officeDocument/2006/relationships/externalLink" Target="externalLinks/externalLink228.xml"/><Relationship Id="rId380" Type="http://schemas.openxmlformats.org/officeDocument/2006/relationships/externalLink" Target="externalLinks/externalLink379.xml"/><Relationship Id="rId240" Type="http://schemas.openxmlformats.org/officeDocument/2006/relationships/externalLink" Target="externalLinks/externalLink239.xml"/><Relationship Id="rId35" Type="http://schemas.openxmlformats.org/officeDocument/2006/relationships/externalLink" Target="externalLinks/externalLink34.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282" Type="http://schemas.openxmlformats.org/officeDocument/2006/relationships/externalLink" Target="externalLinks/externalLink281.xml"/><Relationship Id="rId338" Type="http://schemas.openxmlformats.org/officeDocument/2006/relationships/externalLink" Target="externalLinks/externalLink337.xml"/><Relationship Id="rId8" Type="http://schemas.openxmlformats.org/officeDocument/2006/relationships/externalLink" Target="externalLinks/externalLink7.xml"/><Relationship Id="rId142" Type="http://schemas.openxmlformats.org/officeDocument/2006/relationships/externalLink" Target="externalLinks/externalLink141.xml"/><Relationship Id="rId184" Type="http://schemas.openxmlformats.org/officeDocument/2006/relationships/externalLink" Target="externalLinks/externalLink183.xml"/><Relationship Id="rId251" Type="http://schemas.openxmlformats.org/officeDocument/2006/relationships/externalLink" Target="externalLinks/externalLink250.xml"/><Relationship Id="rId46" Type="http://schemas.openxmlformats.org/officeDocument/2006/relationships/externalLink" Target="externalLinks/externalLink45.xml"/><Relationship Id="rId293" Type="http://schemas.openxmlformats.org/officeDocument/2006/relationships/externalLink" Target="externalLinks/externalLink292.xml"/><Relationship Id="rId307" Type="http://schemas.openxmlformats.org/officeDocument/2006/relationships/externalLink" Target="externalLinks/externalLink306.xml"/><Relationship Id="rId349" Type="http://schemas.openxmlformats.org/officeDocument/2006/relationships/externalLink" Target="externalLinks/externalLink348.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53" Type="http://schemas.openxmlformats.org/officeDocument/2006/relationships/externalLink" Target="externalLinks/externalLink152.xml"/><Relationship Id="rId195" Type="http://schemas.openxmlformats.org/officeDocument/2006/relationships/externalLink" Target="externalLinks/externalLink194.xml"/><Relationship Id="rId209" Type="http://schemas.openxmlformats.org/officeDocument/2006/relationships/externalLink" Target="externalLinks/externalLink208.xml"/><Relationship Id="rId360" Type="http://schemas.openxmlformats.org/officeDocument/2006/relationships/externalLink" Target="externalLinks/externalLink359.xml"/><Relationship Id="rId220" Type="http://schemas.openxmlformats.org/officeDocument/2006/relationships/externalLink" Target="externalLinks/externalLink219.xml"/><Relationship Id="rId15" Type="http://schemas.openxmlformats.org/officeDocument/2006/relationships/externalLink" Target="externalLinks/externalLink14.xml"/><Relationship Id="rId57" Type="http://schemas.openxmlformats.org/officeDocument/2006/relationships/externalLink" Target="externalLinks/externalLink56.xml"/><Relationship Id="rId262" Type="http://schemas.openxmlformats.org/officeDocument/2006/relationships/externalLink" Target="externalLinks/externalLink261.xml"/><Relationship Id="rId318" Type="http://schemas.openxmlformats.org/officeDocument/2006/relationships/externalLink" Target="externalLinks/externalLink317.xml"/><Relationship Id="rId99" Type="http://schemas.openxmlformats.org/officeDocument/2006/relationships/externalLink" Target="externalLinks/externalLink98.xml"/><Relationship Id="rId122" Type="http://schemas.openxmlformats.org/officeDocument/2006/relationships/externalLink" Target="externalLinks/externalLink121.xml"/><Relationship Id="rId164" Type="http://schemas.openxmlformats.org/officeDocument/2006/relationships/externalLink" Target="externalLinks/externalLink163.xml"/><Relationship Id="rId371" Type="http://schemas.openxmlformats.org/officeDocument/2006/relationships/externalLink" Target="externalLinks/externalLink370.xml"/><Relationship Id="rId26" Type="http://schemas.openxmlformats.org/officeDocument/2006/relationships/externalLink" Target="externalLinks/externalLink25.xml"/><Relationship Id="rId231" Type="http://schemas.openxmlformats.org/officeDocument/2006/relationships/externalLink" Target="externalLinks/externalLink230.xml"/><Relationship Id="rId273" Type="http://schemas.openxmlformats.org/officeDocument/2006/relationships/externalLink" Target="externalLinks/externalLink272.xml"/><Relationship Id="rId329" Type="http://schemas.openxmlformats.org/officeDocument/2006/relationships/externalLink" Target="externalLinks/externalLink328.xml"/><Relationship Id="rId68" Type="http://schemas.openxmlformats.org/officeDocument/2006/relationships/externalLink" Target="externalLinks/externalLink67.xml"/><Relationship Id="rId133" Type="http://schemas.openxmlformats.org/officeDocument/2006/relationships/externalLink" Target="externalLinks/externalLink132.xml"/><Relationship Id="rId175" Type="http://schemas.openxmlformats.org/officeDocument/2006/relationships/externalLink" Target="externalLinks/externalLink174.xml"/><Relationship Id="rId340" Type="http://schemas.openxmlformats.org/officeDocument/2006/relationships/externalLink" Target="externalLinks/externalLink33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Itauleas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anco%20Itauleasing.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BB%20Leasing.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BB%20Leasing.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BB%20Leasing.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BB%20Leasing.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BB%20Leasing.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B%20Leasing.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BB%20Leasing.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B%20Leasing.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B%20Leasing.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B%20Leasi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anco%20Itauleasing.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B%20Leasing.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B%20Leasing.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Banco%20Itau.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Banco%20Itau.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Banco%20Itau.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Banco%20Itau.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Banco%20Itau.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anco%20Itau.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Itau.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anco%20Ita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anco%20Itauleasing.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anco%20Itau.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anco%20Itau.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anco%20Itau.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anco%20Itau.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7/dezembro/Volks.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Volks.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Volks.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Volkswagen.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Volkswagen.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Volkswage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teresinha.ALEASING/Configura&#231;&#245;es%20locais/Temporary%20Internet%20Files/Content.Outlook/7CEHLF6F/BFB%20Leasing_Julho%202008.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Volkswagen.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anco%20Volkswagen.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Volks.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Volks.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Volks.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Volks.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anco%20Alvorada.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GMAC.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GMAC.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GMA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anco%20BFB.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GMAC.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GMAC.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GMAC.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GMAC.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GMAC.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GMAC.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GMAC.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GMAC.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GMAC.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JSafr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anco%20BFB.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JSafra.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J%20Safra.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JSafra.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anco%20J%20Safra.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J%20Safra.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J%20Safra.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ITAUBBA.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ITAUBBA.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ITAUBBA.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ITAUBB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anco%20BFB.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ITAUBBA.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ITAUBBA.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ITAUBBA.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IBM.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IBM.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IBM.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IBM.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IBM.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IBM.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IB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anco%20BFB.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IBM.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Daimler.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Daimler.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Daimler.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Daimler.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Daimler.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Daimler.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Daimler.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anco%20Mercedez.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anco%20Mercade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anco%20BFB.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Mercedes.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Mercedez.xls"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Mercedes-Benz.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BV%20Leasing.xls"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Bv%20Leasing.xls"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BV%20Leasing.xls"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BV.xls"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V%20Leasing.xls"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BV.xls"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V%20Leasin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Real.xls"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V.xls"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V%20Leasing.xls"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V%20Leasing.xls"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Alfa.xls"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Alfa.xls" TargetMode="External"/></Relationships>
</file>

<file path=xl/externalLinks/_rels/externalLink19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Alfa.xls" TargetMode="External"/></Relationships>
</file>

<file path=xl/externalLinks/_rels/externalLink19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Alfa.xls" TargetMode="External"/></Relationships>
</file>

<file path=xl/externalLinks/_rels/externalLink19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Alfa.xls" TargetMode="External"/></Relationships>
</file>

<file path=xl/externalLinks/_rels/externalLink19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Alfa.xls" TargetMode="External"/></Relationships>
</file>

<file path=xl/externalLinks/_rels/externalLink19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Alf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Banco%20Itauleas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Real.xls" TargetMode="External"/></Relationships>
</file>

<file path=xl/externalLinks/_rels/externalLink20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Alfa.xls" TargetMode="External"/></Relationships>
</file>

<file path=xl/externalLinks/_rels/externalLink20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Alfa.xls" TargetMode="External"/></Relationships>
</file>

<file path=xl/externalLinks/_rels/externalLink20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Alfa.xls" TargetMode="External"/></Relationships>
</file>

<file path=xl/externalLinks/_rels/externalLink20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Alfa.xls" TargetMode="External"/></Relationships>
</file>

<file path=xl/externalLinks/_rels/externalLink20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Alfa.xls" TargetMode="External"/></Relationships>
</file>

<file path=xl/externalLinks/_rels/externalLink20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7/dezembro/Panamericano.xls" TargetMode="External"/></Relationships>
</file>

<file path=xl/externalLinks/_rels/externalLink20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Panamericano.xls" TargetMode="External"/></Relationships>
</file>

<file path=xl/externalLinks/_rels/externalLink20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Panamericano.xls" TargetMode="External"/></Relationships>
</file>

<file path=xl/externalLinks/_rels/externalLink20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Panamericano.xls" TargetMode="External"/></Relationships>
</file>

<file path=xl/externalLinks/_rels/externalLink20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Panamerican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Real.xls" TargetMode="External"/></Relationships>
</file>

<file path=xl/externalLinks/_rels/externalLink21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Panamericano.xls" TargetMode="External"/></Relationships>
</file>

<file path=xl/externalLinks/_rels/externalLink21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panamericano.xls" TargetMode="External"/></Relationships>
</file>

<file path=xl/externalLinks/_rels/externalLink21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Panamericano.xls" TargetMode="External"/></Relationships>
</file>

<file path=xl/externalLinks/_rels/externalLink21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Panamericano.xls" TargetMode="External"/></Relationships>
</file>

<file path=xl/externalLinks/_rels/externalLink21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Panamericano.xls" TargetMode="External"/></Relationships>
</file>

<file path=xl/externalLinks/_rels/externalLink21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Panamericano.xls" TargetMode="External"/></Relationships>
</file>

<file path=xl/externalLinks/_rels/externalLink21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Toyota.xls" TargetMode="External"/></Relationships>
</file>

<file path=xl/externalLinks/_rels/externalLink21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Toyota.xls" TargetMode="External"/></Relationships>
</file>

<file path=xl/externalLinks/_rels/externalLink21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Toyota.xls" TargetMode="External"/></Relationships>
</file>

<file path=xl/externalLinks/_rels/externalLink21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Toyot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Real.xls" TargetMode="External"/></Relationships>
</file>

<file path=xl/externalLinks/_rels/externalLink22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Toyota.xls" TargetMode="External"/></Relationships>
</file>

<file path=xl/externalLinks/_rels/externalLink22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Toyota.xls" TargetMode="External"/></Relationships>
</file>

<file path=xl/externalLinks/_rels/externalLink22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Toyotal.xls" TargetMode="External"/></Relationships>
</file>

<file path=xl/externalLinks/_rels/externalLink22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Toyota.xls" TargetMode="External"/></Relationships>
</file>

<file path=xl/externalLinks/_rels/externalLink22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Toyota.xls" TargetMode="External"/></Relationships>
</file>

<file path=xl/externalLinks/_rels/externalLink22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Toyota.xls" TargetMode="External"/></Relationships>
</file>

<file path=xl/externalLinks/_rels/externalLink22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Toyota.xls" TargetMode="External"/></Relationships>
</file>

<file path=xl/externalLinks/_rels/externalLink22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anco%20Santander.xls" TargetMode="External"/></Relationships>
</file>

<file path=xl/externalLinks/_rels/externalLink22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Banco%20Santander.xls" TargetMode="External"/></Relationships>
</file>

<file path=xl/externalLinks/_rels/externalLink22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anco%20Santande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Real.xls" TargetMode="External"/></Relationships>
</file>

<file path=xl/externalLinks/_rels/externalLink23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anco%20Santander.xls" TargetMode="External"/></Relationships>
</file>

<file path=xl/externalLinks/_rels/externalLink23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anco%20Santander.xls" TargetMode="External"/></Relationships>
</file>

<file path=xl/externalLinks/_rels/externalLink23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anco%20Santander.xls" TargetMode="External"/></Relationships>
</file>

<file path=xl/externalLinks/_rels/externalLink23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anco%20Santander.xls" TargetMode="External"/></Relationships>
</file>

<file path=xl/externalLinks/_rels/externalLink23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Banco%20Safra.xls" TargetMode="External"/></Relationships>
</file>

<file path=xl/externalLinks/_rels/externalLink23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Banco%20Safra.xls" TargetMode="External"/></Relationships>
</file>

<file path=xl/externalLinks/_rels/externalLink23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Banco%20Safra.xls" TargetMode="External"/></Relationships>
</file>

<file path=xl/externalLinks/_rels/externalLink23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Banco%20Safra.xls" TargetMode="External"/></Relationships>
</file>

<file path=xl/externalLinks/_rels/externalLink23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Banco%20Safra.xls" TargetMode="External"/></Relationships>
</file>

<file path=xl/externalLinks/_rels/externalLink23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anco%20Safr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Real.xls" TargetMode="External"/></Relationships>
</file>

<file path=xl/externalLinks/_rels/externalLink24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anco%20Safra.xls" TargetMode="External"/></Relationships>
</file>

<file path=xl/externalLinks/_rels/externalLink24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anco%20Safra.xls" TargetMode="External"/></Relationships>
</file>

<file path=xl/externalLinks/_rels/externalLink24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anco%20Safra.xls" TargetMode="External"/></Relationships>
</file>

<file path=xl/externalLinks/_rels/externalLink24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anco%20Safra.xls" TargetMode="External"/></Relationships>
</file>

<file path=xl/externalLinks/_rels/externalLink24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anco%20Safra.xls" TargetMode="External"/></Relationships>
</file>

<file path=xl/externalLinks/_rels/externalLink24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Santander.xls" TargetMode="External"/></Relationships>
</file>

<file path=xl/externalLinks/_rels/externalLink24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Santander.xls" TargetMode="External"/></Relationships>
</file>

<file path=xl/externalLinks/_rels/externalLink24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Santander.xls" TargetMode="External"/></Relationships>
</file>

<file path=xl/externalLinks/_rels/externalLink24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Santander.xls" TargetMode="External"/></Relationships>
</file>

<file path=xl/externalLinks/_rels/externalLink24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Santander.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Real.xls" TargetMode="External"/></Relationships>
</file>

<file path=xl/externalLinks/_rels/externalLink25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Santander%20Brasi.xls" TargetMode="External"/></Relationships>
</file>

<file path=xl/externalLinks/_rels/externalLink25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Santander%20Brasil.xls" TargetMode="External"/></Relationships>
</file>

<file path=xl/externalLinks/_rels/externalLink25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Santander%20Brasil.xls" TargetMode="External"/></Relationships>
</file>

<file path=xl/externalLinks/_rels/externalLink25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Santander.xls" TargetMode="External"/></Relationships>
</file>

<file path=xl/externalLinks/_rels/externalLink25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Santander%20Brasil.xls" TargetMode="External"/></Relationships>
</file>

<file path=xl/externalLinks/_rels/externalLink25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Santander%20Brasil.xls" TargetMode="External"/></Relationships>
</file>

<file path=xl/externalLinks/_rels/externalLink25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Santander%20Brasil.xls" TargetMode="External"/></Relationships>
</file>

<file path=xl/externalLinks/_rels/externalLink25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HP.xls" TargetMode="External"/></Relationships>
</file>

<file path=xl/externalLinks/_rels/externalLink25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HP.xls" TargetMode="External"/></Relationships>
</file>

<file path=xl/externalLinks/_rels/externalLink25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H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REAL.xls" TargetMode="External"/></Relationships>
</file>

<file path=xl/externalLinks/_rels/externalLink26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HP.xls" TargetMode="External"/></Relationships>
</file>

<file path=xl/externalLinks/_rels/externalLink26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HP.xls" TargetMode="External"/></Relationships>
</file>

<file path=xl/externalLinks/_rels/externalLink26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HP.xls" TargetMode="External"/></Relationships>
</file>

<file path=xl/externalLinks/_rels/externalLink26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HP.xls" TargetMode="External"/></Relationships>
</file>

<file path=xl/externalLinks/_rels/externalLink26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HP.xls" TargetMode="External"/></Relationships>
</file>

<file path=xl/externalLinks/_rels/externalLink26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HP.xls" TargetMode="External"/></Relationships>
</file>

<file path=xl/externalLinks/_rels/externalLink26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HP.xls" TargetMode="External"/></Relationships>
</file>

<file path=xl/externalLinks/_rels/externalLink26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HP.xls" TargetMode="External"/></Relationships>
</file>

<file path=xl/externalLinks/_rels/externalLink26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HP.xls" TargetMode="External"/></Relationships>
</file>

<file path=xl/externalLinks/_rels/externalLink26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AB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Real.xls" TargetMode="External"/></Relationships>
</file>

<file path=xl/externalLinks/_rels/externalLink27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ABN.xls" TargetMode="External"/></Relationships>
</file>

<file path=xl/externalLinks/_rels/externalLink27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ABN.xls" TargetMode="External"/></Relationships>
</file>

<file path=xl/externalLinks/_rels/externalLink27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ABN.xls" TargetMode="External"/></Relationships>
</file>

<file path=xl/externalLinks/_rels/externalLink27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ABN.xls" TargetMode="External"/></Relationships>
</file>

<file path=xl/externalLinks/_rels/externalLink27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ABN%20Amro.xls" TargetMode="External"/></Relationships>
</file>

<file path=xl/externalLinks/_rels/externalLink27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ABN.xls" TargetMode="External"/></Relationships>
</file>

<file path=xl/externalLinks/_rels/externalLink27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ABN%20AMRO.xls" TargetMode="External"/></Relationships>
</file>

<file path=xl/externalLinks/_rels/externalLink27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ABN.xls" TargetMode="External"/></Relationships>
</file>

<file path=xl/externalLinks/_rels/externalLink27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ABN%20AMRO.xls" TargetMode="External"/></Relationships>
</file>

<file path=xl/externalLinks/_rels/externalLink27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ABN%20AMR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Real.xls" TargetMode="External"/></Relationships>
</file>

<file path=xl/externalLinks/_rels/externalLink28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ABN%20Amro.xls" TargetMode="External"/></Relationships>
</file>

<file path=xl/externalLinks/_rels/externalLink28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CIT.xls" TargetMode="External"/></Relationships>
</file>

<file path=xl/externalLinks/_rels/externalLink28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CIT.xls" TargetMode="External"/></Relationships>
</file>

<file path=xl/externalLinks/_rels/externalLink28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CIT.xls" TargetMode="External"/></Relationships>
</file>

<file path=xl/externalLinks/_rels/externalLink28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CIT.xls" TargetMode="External"/></Relationships>
</file>

<file path=xl/externalLinks/_rels/externalLink28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CIT.xls" TargetMode="External"/></Relationships>
</file>

<file path=xl/externalLinks/_rels/externalLink28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CIT.xls" TargetMode="External"/></Relationships>
</file>

<file path=xl/externalLinks/_rels/externalLink28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Leaseplan.xls" TargetMode="External"/></Relationships>
</file>

<file path=xl/externalLinks/_rels/externalLink28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Leaseplan.xls" TargetMode="External"/></Relationships>
</file>

<file path=xl/externalLinks/_rels/externalLink28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Leasepla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REAL.xls" TargetMode="External"/></Relationships>
</file>

<file path=xl/externalLinks/_rels/externalLink29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Leaseplan.xls" TargetMode="External"/></Relationships>
</file>

<file path=xl/externalLinks/_rels/externalLink29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Leaseplan.xls" TargetMode="External"/></Relationships>
</file>

<file path=xl/externalLinks/_rels/externalLink29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Leaseplan.xls" TargetMode="External"/></Relationships>
</file>

<file path=xl/externalLinks/_rels/externalLink29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Leaseplan.xls" TargetMode="External"/></Relationships>
</file>

<file path=xl/externalLinks/_rels/externalLink29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Leaseplan.xls" TargetMode="External"/></Relationships>
</file>

<file path=xl/externalLinks/_rels/externalLink29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Leaseplan.xls" TargetMode="External"/></Relationships>
</file>

<file path=xl/externalLinks/_rels/externalLink29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Leaseplan.xls" TargetMode="External"/></Relationships>
</file>

<file path=xl/externalLinks/_rels/externalLink29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Leaseplan.xls" TargetMode="External"/></Relationships>
</file>

<file path=xl/externalLinks/_rels/externalLink29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ItauBank.xls" TargetMode="External"/></Relationships>
</file>

<file path=xl/externalLinks/_rels/externalLink29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ItauB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Banco%20Itauleasing.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Real.xls" TargetMode="External"/></Relationships>
</file>

<file path=xl/externalLinks/_rels/externalLink30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ItauBank.xls" TargetMode="External"/></Relationships>
</file>

<file path=xl/externalLinks/_rels/externalLink30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ItauBank.xls" TargetMode="External"/></Relationships>
</file>

<file path=xl/externalLinks/_rels/externalLink30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ItauBank.xls" TargetMode="External"/></Relationships>
</file>

<file path=xl/externalLinks/_rels/externalLink30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ItauBank%20Leasing.xls" TargetMode="External"/></Relationships>
</file>

<file path=xl/externalLinks/_rels/externalLink30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ItauBank.xls" TargetMode="External"/></Relationships>
</file>

<file path=xl/externalLinks/_rels/externalLink30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ItauBank.xls" TargetMode="External"/></Relationships>
</file>

<file path=xl/externalLinks/_rels/externalLink30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ItauBank.xls" TargetMode="External"/></Relationships>
</file>

<file path=xl/externalLinks/_rels/externalLink30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ItauBank.xls" TargetMode="External"/></Relationships>
</file>

<file path=xl/externalLinks/_rels/externalLink30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ItauBank%20.xls" TargetMode="External"/></Relationships>
</file>

<file path=xl/externalLinks/_rels/externalLink30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ItauBank.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Dibens.xls" TargetMode="External"/></Relationships>
</file>

<file path=xl/externalLinks/_rels/externalLink31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Renault.xls" TargetMode="External"/></Relationships>
</file>

<file path=xl/externalLinks/_rels/externalLink31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Renault.xls" TargetMode="External"/></Relationships>
</file>

<file path=xl/externalLinks/_rels/externalLink31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Renault.xls" TargetMode="External"/></Relationships>
</file>

<file path=xl/externalLinks/_rels/externalLink31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Renault.xls" TargetMode="External"/></Relationships>
</file>

<file path=xl/externalLinks/_rels/externalLink31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Renault.xls" TargetMode="External"/></Relationships>
</file>

<file path=xl/externalLinks/_rels/externalLink31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Renault.xls" TargetMode="External"/></Relationships>
</file>

<file path=xl/externalLinks/_rels/externalLink31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RENAULT.xls" TargetMode="External"/></Relationships>
</file>

<file path=xl/externalLinks/_rels/externalLink31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RENAULT.xls" TargetMode="External"/></Relationships>
</file>

<file path=xl/externalLinks/_rels/externalLink31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Renault.xls" TargetMode="External"/></Relationships>
</file>

<file path=xl/externalLinks/_rels/externalLink31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Renaul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Dibens.xls" TargetMode="External"/></Relationships>
</file>

<file path=xl/externalLinks/_rels/externalLink32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RENAULT.xls" TargetMode="External"/></Relationships>
</file>

<file path=xl/externalLinks/_rels/externalLink32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Renault.xls" TargetMode="External"/></Relationships>
</file>

<file path=xl/externalLinks/_rels/externalLink32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BMG.xls" TargetMode="External"/></Relationships>
</file>

<file path=xl/externalLinks/_rels/externalLink32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BMG.xls" TargetMode="External"/></Relationships>
</file>

<file path=xl/externalLinks/_rels/externalLink32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BMG.xls" TargetMode="External"/></Relationships>
</file>

<file path=xl/externalLinks/_rels/externalLink32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BMG.xls" TargetMode="External"/></Relationships>
</file>

<file path=xl/externalLinks/_rels/externalLink32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BMG.xls" TargetMode="External"/></Relationships>
</file>

<file path=xl/externalLinks/_rels/externalLink32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MG.xls" TargetMode="External"/></Relationships>
</file>

<file path=xl/externalLinks/_rels/externalLink32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BMG.xls" TargetMode="External"/></Relationships>
</file>

<file path=xl/externalLinks/_rels/externalLink32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M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Dibens.xls" TargetMode="External"/></Relationships>
</file>

<file path=xl/externalLinks/_rels/externalLink33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MG.xls" TargetMode="External"/></Relationships>
</file>

<file path=xl/externalLinks/_rels/externalLink33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MG.xls" TargetMode="External"/></Relationships>
</file>

<file path=xl/externalLinks/_rels/externalLink33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MG.xls" TargetMode="External"/></Relationships>
</file>

<file path=xl/externalLinks/_rels/externalLink33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MG.xls" TargetMode="External"/></Relationships>
</file>

<file path=xl/externalLinks/_rels/externalLink33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Guanabara.xls" TargetMode="External"/></Relationships>
</file>

<file path=xl/externalLinks/_rels/externalLink33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Guanabara.xls" TargetMode="External"/></Relationships>
</file>

<file path=xl/externalLinks/_rels/externalLink33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Guanabara.xls" TargetMode="External"/></Relationships>
</file>

<file path=xl/externalLinks/_rels/externalLink33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Guanabara.xls" TargetMode="External"/></Relationships>
</file>

<file path=xl/externalLinks/_rels/externalLink33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Guanabara.xls" TargetMode="External"/></Relationships>
</file>

<file path=xl/externalLinks/_rels/externalLink33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anco%20Guanabar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Dibens.xls" TargetMode="External"/></Relationships>
</file>

<file path=xl/externalLinks/_rels/externalLink34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Guanabara.xls" TargetMode="External"/></Relationships>
</file>

<file path=xl/externalLinks/_rels/externalLink34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Guanabara.xls" TargetMode="External"/></Relationships>
</file>

<file path=xl/externalLinks/_rels/externalLink34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Guanabara.xls" TargetMode="External"/></Relationships>
</file>

<file path=xl/externalLinks/_rels/externalLink34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Guanabara.xls" TargetMode="External"/></Relationships>
</file>

<file path=xl/externalLinks/_rels/externalLink34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Guanabara.xls" TargetMode="External"/></Relationships>
</file>

<file path=xl/externalLinks/_rels/externalLink34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Guanabara.xls" TargetMode="External"/></Relationships>
</file>

<file path=xl/externalLinks/_rels/externalLink34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Honda.xls" TargetMode="External"/></Relationships>
</file>

<file path=xl/externalLinks/_rels/externalLink34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Honda.xls" TargetMode="External"/></Relationships>
</file>

<file path=xl/externalLinks/_rels/externalLink34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Honda.xls" TargetMode="External"/></Relationships>
</file>

<file path=xl/externalLinks/_rels/externalLink34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Hond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Dibens.xls" TargetMode="External"/></Relationships>
</file>

<file path=xl/externalLinks/_rels/externalLink35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Honda.xls" TargetMode="External"/></Relationships>
</file>

<file path=xl/externalLinks/_rels/externalLink35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Honda.xls" TargetMode="External"/></Relationships>
</file>

<file path=xl/externalLinks/_rels/externalLink35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Honda.xls" TargetMode="External"/></Relationships>
</file>

<file path=xl/externalLinks/_rels/externalLink35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Honda.xls" TargetMode="External"/></Relationships>
</file>

<file path=xl/externalLinks/_rels/externalLink35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Honda.xls" TargetMode="External"/></Relationships>
</file>

<file path=xl/externalLinks/_rels/externalLink35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Honda.xls" TargetMode="External"/></Relationships>
</file>

<file path=xl/externalLinks/_rels/externalLink35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Honda.xls" TargetMode="External"/></Relationships>
</file>

<file path=xl/externalLinks/_rels/externalLink35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Honda.xls" TargetMode="External"/></Relationships>
</file>

<file path=xl/externalLinks/_rels/externalLink35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BIC.xls" TargetMode="External"/></Relationships>
</file>

<file path=xl/externalLinks/_rels/externalLink35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BIC.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Unibanco.xls" TargetMode="External"/></Relationships>
</file>

<file path=xl/externalLinks/_rels/externalLink36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BIC.xls" TargetMode="External"/></Relationships>
</file>

<file path=xl/externalLinks/_rels/externalLink36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BIC.xls" TargetMode="External"/></Relationships>
</file>

<file path=xl/externalLinks/_rels/externalLink36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IC.xls" TargetMode="External"/></Relationships>
</file>

<file path=xl/externalLinks/_rels/externalLink36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BIC.xls" TargetMode="External"/></Relationships>
</file>

<file path=xl/externalLinks/_rels/externalLink36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IC.xls" TargetMode="External"/></Relationships>
</file>

<file path=xl/externalLinks/_rels/externalLink36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IC.xls" TargetMode="External"/></Relationships>
</file>

<file path=xl/externalLinks/_rels/externalLink36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IC.xls" TargetMode="External"/></Relationships>
</file>

<file path=xl/externalLinks/_rels/externalLink36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IC.xls" TargetMode="External"/></Relationships>
</file>

<file path=xl/externalLinks/_rels/externalLink36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IC.xls" TargetMode="External"/></Relationships>
</file>

<file path=xl/externalLinks/_rels/externalLink36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Citibank.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Dibens.xls" TargetMode="External"/></Relationships>
</file>

<file path=xl/externalLinks/_rels/externalLink37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Citibank.xls" TargetMode="External"/></Relationships>
</file>

<file path=xl/externalLinks/_rels/externalLink37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Citibank.xls" TargetMode="External"/></Relationships>
</file>

<file path=xl/externalLinks/_rels/externalLink37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Citibank.xls" TargetMode="External"/></Relationships>
</file>

<file path=xl/externalLinks/_rels/externalLink37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7/setembro/Volvo.xlsx" TargetMode="External"/></Relationships>
</file>

<file path=xl/externalLinks/_rels/externalLink37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Volvo.xls" TargetMode="External"/></Relationships>
</file>

<file path=xl/externalLinks/_rels/externalLink37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Mercantil.xls" TargetMode="External"/></Relationships>
</file>

<file path=xl/externalLinks/_rels/externalLink37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Mercantil.xls" TargetMode="External"/></Relationships>
</file>

<file path=xl/externalLinks/_rels/externalLink37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Mercantil.xls" TargetMode="External"/></Relationships>
</file>

<file path=xl/externalLinks/_rels/externalLink37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Mercantil.xls" TargetMode="External"/></Relationships>
</file>

<file path=xl/externalLinks/_rels/externalLink37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Mercantil.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Unibanco.xls" TargetMode="External"/></Relationships>
</file>

<file path=xl/externalLinks/_rels/externalLink38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Mercantil.xls" TargetMode="External"/></Relationships>
</file>

<file path=xl/externalLinks/_rels/externalLink38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Mercantil.xls" TargetMode="External"/></Relationships>
</file>

<file path=xl/externalLinks/_rels/externalLink38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Mercantil.xls" TargetMode="External"/></Relationships>
</file>

<file path=xl/externalLinks/_rels/externalLink38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Mercantil.xls" TargetMode="External"/></Relationships>
</file>

<file path=xl/externalLinks/_rels/externalLink38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Mercantil.xls" TargetMode="External"/></Relationships>
</file>

<file path=xl/externalLinks/_rels/externalLink38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Mercanti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Dibe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Itauleas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Diben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Itaucard.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Banco%20Itaucar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Banco%20Itaucard.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Itaucar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Banco%20Itaucard.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anco%20Itaucar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Itaucard.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anco%20Itaucard.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anco%20Itauca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Banco%20Itauleas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anco%20Itaucard.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anco%20Itaucard.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anco%20Itaucard.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Finasa.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Finasa.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Finas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Finasa.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Finasa.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Finas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Finas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anco%20Itauleas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Finasa.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Finasa.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anco%20Finasa.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Finas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Finasa.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Bradesc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Bradesco.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Bradesco.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Bradesc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Bradesc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Itauleasing.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Bradesco.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Bradesco.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radesco.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radesco.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Bradesco.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Bradesco.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Bradesco.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Safra.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Safra.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Safr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Banco%20Itauleasing.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Safra.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Safra.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Safra%20Leasing.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Safra.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Safra.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Safra%20Leasing.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Safra.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Safra.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aneiro/HSBC.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fevereiro/HSB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Banco%20Itauleasing.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r&#231;o/HSBC.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bril/HSBC.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maio/HSBC.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nho/HSBC.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julho/HSBC.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agosto/HSBC.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setembro/HSBC.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outubro/HSBC.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novembro/HSBC.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Documents%20and%20Settings/Allegro/Desktop/ESTATISTICAS/Associadas%20-%20dados%20estat&#237;sticos/dados%20estat&#237;sticos%202008/dezembro/HSB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14320334027.92</v>
          </cell>
        </row>
        <row r="112">
          <cell r="E112">
            <v>810524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15813875689.910002</v>
          </cell>
        </row>
        <row r="112">
          <cell r="E112">
            <v>648577</v>
          </cell>
        </row>
      </sheetData>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1259139599.8699999</v>
          </cell>
        </row>
        <row r="60">
          <cell r="G60">
            <v>16600</v>
          </cell>
        </row>
      </sheetData>
      <sheetData sheetId="1"/>
      <sheetData sheetId="2"/>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1287694233.4799998</v>
          </cell>
        </row>
        <row r="60">
          <cell r="G60">
            <v>17251</v>
          </cell>
        </row>
      </sheetData>
      <sheetData sheetId="1"/>
      <sheetData sheetId="2"/>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1347544001.9200003</v>
          </cell>
        </row>
        <row r="60">
          <cell r="G60">
            <v>18577</v>
          </cell>
        </row>
      </sheetData>
      <sheetData sheetId="1"/>
      <sheetData sheetId="2"/>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1472748984.3329997</v>
          </cell>
        </row>
        <row r="60">
          <cell r="G60">
            <v>21125</v>
          </cell>
        </row>
      </sheetData>
      <sheetData sheetId="1"/>
      <sheetData sheetId="2"/>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1642016570.5000002</v>
          </cell>
        </row>
        <row r="60">
          <cell r="G60">
            <v>24872</v>
          </cell>
        </row>
      </sheetData>
      <sheetData sheetId="1"/>
      <sheetData sheetId="2"/>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1848419854.6099999</v>
          </cell>
        </row>
        <row r="60">
          <cell r="G60">
            <v>29939</v>
          </cell>
        </row>
      </sheetData>
      <sheetData sheetId="1"/>
      <sheetData sheetId="2"/>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2083187288.9799998</v>
          </cell>
        </row>
        <row r="60">
          <cell r="G60">
            <v>36266</v>
          </cell>
        </row>
      </sheetData>
      <sheetData sheetId="1"/>
      <sheetData sheetId="2"/>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2274880439.1600003</v>
          </cell>
        </row>
        <row r="60">
          <cell r="G60">
            <v>41818</v>
          </cell>
        </row>
      </sheetData>
      <sheetData sheetId="1"/>
      <sheetData sheetId="2"/>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3200326754.8699994</v>
          </cell>
        </row>
        <row r="60">
          <cell r="G60">
            <v>47879</v>
          </cell>
        </row>
      </sheetData>
      <sheetData sheetId="1"/>
      <sheetData sheetId="2"/>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2684125509.3600006</v>
          </cell>
        </row>
        <row r="60">
          <cell r="G60">
            <v>53890</v>
          </cell>
        </row>
      </sheetData>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15585561556</v>
          </cell>
        </row>
        <row r="112">
          <cell r="E112">
            <v>643406</v>
          </cell>
        </row>
      </sheetData>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2842759347.8899994</v>
          </cell>
        </row>
        <row r="60">
          <cell r="G60">
            <v>59610</v>
          </cell>
        </row>
      </sheetData>
      <sheetData sheetId="1"/>
      <sheetData sheetId="2"/>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_CONSOLIDADO"/>
      <sheetName val="INF ADICIONAIS 1"/>
      <sheetName val="INF ADICIONAIS 2"/>
    </sheetNames>
    <sheetDataSet>
      <sheetData sheetId="0">
        <row r="58">
          <cell r="G58">
            <v>2984873369.0399995</v>
          </cell>
        </row>
        <row r="60">
          <cell r="G60">
            <v>65147</v>
          </cell>
        </row>
      </sheetData>
      <sheetData sheetId="1"/>
      <sheetData sheetId="2"/>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2241064686.0300002</v>
          </cell>
        </row>
        <row r="102">
          <cell r="E102">
            <v>112955</v>
          </cell>
        </row>
      </sheetData>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AU"/>
    </sheetNames>
    <sheetDataSet>
      <sheetData sheetId="0">
        <row r="100">
          <cell r="E100">
            <v>2473122903.1800003</v>
          </cell>
        </row>
        <row r="102">
          <cell r="E102">
            <v>124614</v>
          </cell>
        </row>
      </sheetData>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2744525494.96</v>
          </cell>
        </row>
        <row r="102">
          <cell r="E102">
            <v>137403</v>
          </cell>
        </row>
      </sheetData>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2977463282.6099992</v>
          </cell>
        </row>
        <row r="102">
          <cell r="E102">
            <v>147854</v>
          </cell>
        </row>
      </sheetData>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3065613907.1699982</v>
          </cell>
        </row>
        <row r="102">
          <cell r="E102">
            <v>152521</v>
          </cell>
        </row>
      </sheetData>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3005999662.809999</v>
          </cell>
        </row>
        <row r="102">
          <cell r="E102">
            <v>151166</v>
          </cell>
        </row>
      </sheetData>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2929186821.809999</v>
          </cell>
        </row>
        <row r="102">
          <cell r="E102">
            <v>149116</v>
          </cell>
        </row>
      </sheetData>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2857510505.2799993</v>
          </cell>
        </row>
        <row r="102">
          <cell r="E102">
            <v>146904</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15377957567.939999</v>
          </cell>
        </row>
        <row r="112">
          <cell r="E112">
            <v>636593</v>
          </cell>
        </row>
      </sheetData>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2774419761.0199995</v>
          </cell>
        </row>
        <row r="102">
          <cell r="E102">
            <v>144341</v>
          </cell>
        </row>
      </sheetData>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2701672607.04</v>
          </cell>
        </row>
        <row r="102">
          <cell r="E102">
            <v>142201</v>
          </cell>
        </row>
      </sheetData>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2641845177.3699999</v>
          </cell>
        </row>
        <row r="102">
          <cell r="E102">
            <v>140525</v>
          </cell>
        </row>
      </sheetData>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2569521040.3899994</v>
          </cell>
        </row>
        <row r="102">
          <cell r="E102">
            <v>138895</v>
          </cell>
        </row>
      </sheetData>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embro_2007"/>
    </sheetNames>
    <sheetDataSet>
      <sheetData sheetId="0">
        <row r="33">
          <cell r="J33">
            <v>455533493.11999995</v>
          </cell>
        </row>
        <row r="38">
          <cell r="J38">
            <v>6129</v>
          </cell>
        </row>
      </sheetData>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vereiro_2008"/>
    </sheetNames>
    <sheetDataSet>
      <sheetData sheetId="0">
        <row r="33">
          <cell r="J33">
            <v>603530799.31000018</v>
          </cell>
        </row>
        <row r="38">
          <cell r="J38">
            <v>10983</v>
          </cell>
        </row>
      </sheetData>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ço_2008"/>
    </sheetNames>
    <sheetDataSet>
      <sheetData sheetId="0">
        <row r="33">
          <cell r="J33">
            <v>739248598.59000015</v>
          </cell>
        </row>
        <row r="38">
          <cell r="J38">
            <v>15391</v>
          </cell>
        </row>
      </sheetData>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ril_2008"/>
    </sheetNames>
    <sheetDataSet>
      <sheetData sheetId="0">
        <row r="33">
          <cell r="J33">
            <v>900094721.63</v>
          </cell>
        </row>
        <row r="38">
          <cell r="J38">
            <v>20473</v>
          </cell>
        </row>
      </sheetData>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o_2008"/>
    </sheetNames>
    <sheetDataSet>
      <sheetData sheetId="0">
        <row r="35">
          <cell r="J35">
            <v>712880136.32011783</v>
          </cell>
        </row>
        <row r="38">
          <cell r="J38">
            <v>28467</v>
          </cell>
        </row>
      </sheetData>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ho_2008"/>
    </sheetNames>
    <sheetDataSet>
      <sheetData sheetId="0">
        <row r="33">
          <cell r="J33">
            <v>1377281812.4200003</v>
          </cell>
        </row>
        <row r="38">
          <cell r="J38">
            <v>35490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efreshError="1">
        <row r="100">
          <cell r="E100">
            <v>7126523718.6899986</v>
          </cell>
        </row>
        <row r="102">
          <cell r="E102">
            <v>468034</v>
          </cell>
        </row>
      </sheetData>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lho_2008"/>
    </sheetNames>
    <sheetDataSet>
      <sheetData sheetId="0">
        <row r="33">
          <cell r="J33">
            <v>1641686503.96</v>
          </cell>
        </row>
        <row r="38">
          <cell r="J38">
            <v>44460</v>
          </cell>
        </row>
      </sheetData>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osto_2008"/>
    </sheetNames>
    <sheetDataSet>
      <sheetData sheetId="0">
        <row r="33">
          <cell r="J33">
            <v>1862858428.7500005</v>
          </cell>
        </row>
        <row r="38">
          <cell r="J38">
            <v>52064</v>
          </cell>
        </row>
      </sheetData>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embro_2008"/>
    </sheetNames>
    <sheetDataSet>
      <sheetData sheetId="0">
        <row r="33">
          <cell r="J33">
            <v>2088333278.8600001</v>
          </cell>
        </row>
        <row r="38">
          <cell r="J38">
            <v>59983</v>
          </cell>
        </row>
      </sheetData>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embro_2008"/>
      <sheetName val="Volks"/>
    </sheetNames>
    <definedNames>
      <definedName name="_xlbgnm.vl74" refersTo="='Setembro_2008'!$J$38"/>
      <definedName name="vl74"/>
    </definedNames>
    <sheetDataSet>
      <sheetData sheetId="0">
        <row r="33">
          <cell r="J33">
            <v>2233334309.2699995</v>
          </cell>
        </row>
        <row r="38">
          <cell r="J38">
            <v>66343</v>
          </cell>
        </row>
      </sheetData>
      <sheetData sheetId="1"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embro_2008"/>
      <sheetName val="Volks"/>
    </sheetNames>
    <definedNames>
      <definedName name="_xlbgnm.vl74" refersTo="='Novembro_2008'!$J$38"/>
      <definedName name="vl74"/>
    </definedNames>
    <sheetDataSet>
      <sheetData sheetId="0">
        <row r="33">
          <cell r="J33">
            <v>2250961446.2600002</v>
          </cell>
        </row>
        <row r="38">
          <cell r="J38">
            <v>68450</v>
          </cell>
        </row>
      </sheetData>
      <sheetData sheetId="1"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embro_2008"/>
      <sheetName val="Volks"/>
    </sheetNames>
    <definedNames>
      <definedName name="_xlbgnm.vl74" refersTo="='Dezembro_2008'!$J$38"/>
      <definedName name="vl74"/>
    </definedNames>
    <sheetDataSet>
      <sheetData sheetId="0">
        <row r="33">
          <cell r="J33">
            <v>2266109008.4200006</v>
          </cell>
        </row>
        <row r="38">
          <cell r="J38">
            <v>70140</v>
          </cell>
        </row>
      </sheetData>
      <sheetData sheetId="1"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refreshError="1"/>
      <sheetData sheetId="1">
        <row r="95">
          <cell r="D95">
            <v>2252964065.2199998</v>
          </cell>
        </row>
        <row r="96">
          <cell r="D96">
            <v>48992</v>
          </cell>
        </row>
      </sheetData>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1308191772.3599997</v>
          </cell>
        </row>
        <row r="112">
          <cell r="D112">
            <v>61570</v>
          </cell>
        </row>
      </sheetData>
      <sheetData sheetId="3"/>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1412100442.3999996</v>
          </cell>
        </row>
        <row r="112">
          <cell r="D112">
            <v>66827</v>
          </cell>
        </row>
      </sheetData>
      <sheetData sheetId="3"/>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1538166004.76</v>
          </cell>
        </row>
        <row r="112">
          <cell r="D112">
            <v>72884</v>
          </cell>
        </row>
      </sheetData>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7689975016.6599998</v>
          </cell>
        </row>
        <row r="102">
          <cell r="E102">
            <v>488138</v>
          </cell>
        </row>
      </sheetData>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1692993054.1099997</v>
          </cell>
        </row>
        <row r="112">
          <cell r="D112">
            <v>80313</v>
          </cell>
        </row>
      </sheetData>
      <sheetData sheetId="3"/>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1832114966.3000004</v>
          </cell>
        </row>
        <row r="112">
          <cell r="D112">
            <v>87111</v>
          </cell>
        </row>
      </sheetData>
      <sheetData sheetId="3"/>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1975636103.8700004</v>
          </cell>
        </row>
        <row r="112">
          <cell r="D112">
            <v>94112</v>
          </cell>
        </row>
      </sheetData>
      <sheetData sheetId="3"/>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2108322705.3699999</v>
          </cell>
        </row>
        <row r="112">
          <cell r="D112">
            <v>100949</v>
          </cell>
        </row>
      </sheetData>
      <sheetData sheetId="3"/>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2197933575.8400006</v>
          </cell>
        </row>
        <row r="112">
          <cell r="D112">
            <v>105241</v>
          </cell>
        </row>
      </sheetData>
      <sheetData sheetId="3"/>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2270237909.8799992</v>
          </cell>
        </row>
        <row r="112">
          <cell r="D112">
            <v>109405</v>
          </cell>
        </row>
      </sheetData>
      <sheetData sheetId="3"/>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2352901819.8100004</v>
          </cell>
        </row>
        <row r="112">
          <cell r="D112">
            <v>114759</v>
          </cell>
        </row>
      </sheetData>
      <sheetData sheetId="3"/>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2310782009.5400009</v>
          </cell>
        </row>
        <row r="112">
          <cell r="D112">
            <v>113294</v>
          </cell>
        </row>
      </sheetData>
      <sheetData sheetId="3"/>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erva "/>
      <sheetName val="CARTEIRA NOVA"/>
      <sheetName val="Abel1"/>
      <sheetName val="Abel2"/>
    </sheetNames>
    <sheetDataSet>
      <sheetData sheetId="0"/>
      <sheetData sheetId="1"/>
      <sheetData sheetId="2">
        <row r="111">
          <cell r="D111">
            <v>2235912638.1999998</v>
          </cell>
        </row>
        <row r="112">
          <cell r="D112">
            <v>113304</v>
          </cell>
        </row>
      </sheetData>
      <sheetData sheetId="3"/>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661819428.85000002</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9118981408.3600006</v>
          </cell>
        </row>
        <row r="102">
          <cell r="E102">
            <v>538071</v>
          </cell>
        </row>
      </sheetData>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874420885.11000025</v>
          </cell>
        </row>
        <row r="18">
          <cell r="D18">
            <v>16818</v>
          </cell>
        </row>
      </sheetData>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 val="apuracao arrend por setor ativ"/>
    </sheetNames>
    <sheetDataSet>
      <sheetData sheetId="0">
        <row r="17">
          <cell r="D17">
            <v>1426411801.3499999</v>
          </cell>
        </row>
      </sheetData>
      <sheetData sheetId="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1700882730.7799997</v>
          </cell>
        </row>
      </sheetData>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1767115583.8400002</v>
          </cell>
        </row>
      </sheetData>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1767605451.7600002</v>
          </cell>
        </row>
      </sheetData>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1762523238.8400004</v>
          </cell>
        </row>
      </sheetData>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511718596.29999995</v>
          </cell>
        </row>
        <row r="112">
          <cell r="E112">
            <v>21495</v>
          </cell>
        </row>
      </sheetData>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827778428.22000003</v>
          </cell>
        </row>
        <row r="112">
          <cell r="E112">
            <v>34856</v>
          </cell>
        </row>
      </sheetData>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1081070037.1599998</v>
          </cell>
        </row>
        <row r="112">
          <cell r="E112">
            <v>45011</v>
          </cell>
        </row>
      </sheetData>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1357667457.26</v>
          </cell>
        </row>
        <row r="112">
          <cell r="E112">
            <v>55659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9996720852.6700001</v>
          </cell>
        </row>
        <row r="102">
          <cell r="E102">
            <v>571439</v>
          </cell>
        </row>
      </sheetData>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1525623955.3599999</v>
          </cell>
        </row>
        <row r="112">
          <cell r="E112">
            <v>62598</v>
          </cell>
        </row>
      </sheetData>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1608936342.0899999</v>
          </cell>
        </row>
        <row r="112">
          <cell r="E112">
            <v>66924</v>
          </cell>
        </row>
      </sheetData>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1731388843.2499998</v>
          </cell>
        </row>
        <row r="112">
          <cell r="E112">
            <v>73431</v>
          </cell>
        </row>
      </sheetData>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5">
          <cell r="D115">
            <v>1469406640.5099998</v>
          </cell>
        </row>
        <row r="116">
          <cell r="D116">
            <v>728</v>
          </cell>
        </row>
      </sheetData>
      <sheetData sheetId="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5">
          <cell r="D115">
            <v>1488255547.01</v>
          </cell>
        </row>
        <row r="116">
          <cell r="D116">
            <v>751</v>
          </cell>
        </row>
      </sheetData>
      <sheetData sheetId="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5">
          <cell r="D115">
            <v>1555793095.3999999</v>
          </cell>
        </row>
        <row r="116">
          <cell r="D116">
            <v>764</v>
          </cell>
        </row>
      </sheetData>
      <sheetData sheetId="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5">
          <cell r="D115">
            <v>1551493123.6099999</v>
          </cell>
        </row>
        <row r="116">
          <cell r="D116">
            <v>787</v>
          </cell>
        </row>
      </sheetData>
      <sheetData sheetId="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5">
          <cell r="D115">
            <v>1520703618.0399997</v>
          </cell>
        </row>
        <row r="116">
          <cell r="D116">
            <v>782</v>
          </cell>
        </row>
      </sheetData>
      <sheetData sheetId="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5">
          <cell r="D115">
            <v>1478105379.3700001</v>
          </cell>
        </row>
        <row r="116">
          <cell r="D116">
            <v>997</v>
          </cell>
        </row>
      </sheetData>
      <sheetData sheetId="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5">
          <cell r="D115">
            <v>1484399086.9999998</v>
          </cell>
        </row>
        <row r="116">
          <cell r="D116">
            <v>1210</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10344691328.57</v>
          </cell>
        </row>
        <row r="102">
          <cell r="E102">
            <v>588707</v>
          </cell>
        </row>
      </sheetData>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5">
          <cell r="D115">
            <v>1521966588.5200002</v>
          </cell>
        </row>
        <row r="116">
          <cell r="D116">
            <v>1101</v>
          </cell>
        </row>
      </sheetData>
      <sheetData sheetId="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ESTATISTICOS"/>
      <sheetName val="SETOR DE ATIVIDADE"/>
    </sheetNames>
    <sheetDataSet>
      <sheetData sheetId="0">
        <row r="111">
          <cell r="E111">
            <v>1281221671.3299999</v>
          </cell>
        </row>
        <row r="112">
          <cell r="E112">
            <v>12263</v>
          </cell>
        </row>
      </sheetData>
      <sheetData sheetId="1"/>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ESTATISTICOS"/>
      <sheetName val="SETOR DE ATIVIDADE"/>
    </sheetNames>
    <sheetDataSet>
      <sheetData sheetId="0">
        <row r="111">
          <cell r="E111">
            <v>1282863442.5900002</v>
          </cell>
        </row>
        <row r="112">
          <cell r="E112">
            <v>12385</v>
          </cell>
        </row>
      </sheetData>
      <sheetData sheetId="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ESTATISTICOS"/>
      <sheetName val="SETOR DE ATIVIDADE"/>
    </sheetNames>
    <sheetDataSet>
      <sheetData sheetId="0">
        <row r="111">
          <cell r="E111">
            <v>1288531701.3600001</v>
          </cell>
        </row>
        <row r="112">
          <cell r="E112">
            <v>12560</v>
          </cell>
        </row>
      </sheetData>
      <sheetData sheetId="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ESTATISTICOS"/>
      <sheetName val="SETOR DE ATIVIDADE"/>
    </sheetNames>
    <sheetDataSet>
      <sheetData sheetId="0">
        <row r="111">
          <cell r="E111">
            <v>1304992241.4000001</v>
          </cell>
        </row>
        <row r="112">
          <cell r="E112">
            <v>12806</v>
          </cell>
        </row>
      </sheetData>
      <sheetData sheetId="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ESTATISTICOS"/>
      <sheetName val="SETOR DE ATIVIDADE"/>
    </sheetNames>
    <sheetDataSet>
      <sheetData sheetId="0">
        <row r="111">
          <cell r="E111">
            <v>1344364772.3700001</v>
          </cell>
        </row>
        <row r="112">
          <cell r="E112">
            <v>13097</v>
          </cell>
        </row>
      </sheetData>
      <sheetData sheetId="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ESTATISTICOS"/>
      <sheetName val="SETOR DE ATIVIDADE"/>
    </sheetNames>
    <sheetDataSet>
      <sheetData sheetId="0">
        <row r="111">
          <cell r="E111">
            <v>1346874187.3700004</v>
          </cell>
        </row>
        <row r="112">
          <cell r="E112">
            <v>13308</v>
          </cell>
        </row>
      </sheetData>
      <sheetData sheetId="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ESTATISTICOS"/>
      <sheetName val="SETOR DE ATIVIDADE"/>
    </sheetNames>
    <sheetDataSet>
      <sheetData sheetId="0">
        <row r="111">
          <cell r="E111">
            <v>1388610900.7299998</v>
          </cell>
        </row>
        <row r="112">
          <cell r="E112">
            <v>13576</v>
          </cell>
        </row>
      </sheetData>
      <sheetData sheetId="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
      <sheetName val="Base"/>
    </sheetNames>
    <sheetDataSet>
      <sheetData sheetId="0">
        <row r="111">
          <cell r="D111">
            <v>1456407166.0599999</v>
          </cell>
        </row>
        <row r="112">
          <cell r="D112">
            <v>13682</v>
          </cell>
        </row>
      </sheetData>
      <sheetData sheetId="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
      <sheetName val="Base"/>
    </sheetNames>
    <sheetDataSet>
      <sheetData sheetId="0" refreshError="1">
        <row r="112">
          <cell r="D112">
            <v>1493282397.4600003</v>
          </cell>
        </row>
        <row r="113">
          <cell r="D113">
            <v>13864</v>
          </cell>
        </row>
      </sheetData>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10950751445.070002</v>
          </cell>
        </row>
        <row r="102">
          <cell r="E102">
            <v>616800</v>
          </cell>
        </row>
      </sheetData>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
      <sheetName val="Base"/>
    </sheetNames>
    <sheetDataSet>
      <sheetData sheetId="0">
        <row r="112">
          <cell r="D112">
            <v>1501187091.6300001</v>
          </cell>
        </row>
        <row r="113">
          <cell r="D113">
            <v>13908</v>
          </cell>
        </row>
      </sheetData>
      <sheetData sheetId="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
      <sheetName val="Base"/>
    </sheetNames>
    <sheetDataSet>
      <sheetData sheetId="0" refreshError="1">
        <row r="112">
          <cell r="D112">
            <v>1487924265.6100001</v>
          </cell>
        </row>
        <row r="113">
          <cell r="D113">
            <v>13969</v>
          </cell>
        </row>
      </sheetData>
      <sheetData sheetId="1" refreshError="1"/>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_ABEL"/>
      <sheetName val="Base"/>
    </sheetNames>
    <sheetDataSet>
      <sheetData sheetId="0">
        <row r="112">
          <cell r="D112">
            <v>1500970853.02</v>
          </cell>
        </row>
        <row r="113">
          <cell r="D113">
            <v>14197</v>
          </cell>
        </row>
      </sheetData>
      <sheetData sheetId="1"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67271772.820000008</v>
          </cell>
        </row>
        <row r="96">
          <cell r="F96">
            <v>2873</v>
          </cell>
        </row>
      </sheetData>
      <sheetData sheetId="2"/>
      <sheetData sheetId="3"/>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70047544.74000001</v>
          </cell>
        </row>
        <row r="96">
          <cell r="F96">
            <v>1934</v>
          </cell>
        </row>
      </sheetData>
      <sheetData sheetId="2"/>
      <sheetData sheetId="3"/>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102045469.28999999</v>
          </cell>
        </row>
        <row r="96">
          <cell r="F96">
            <v>4274</v>
          </cell>
        </row>
      </sheetData>
      <sheetData sheetId="2"/>
      <sheetData sheetId="3"/>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200333844.34999999</v>
          </cell>
        </row>
        <row r="96">
          <cell r="F96">
            <v>8079</v>
          </cell>
        </row>
      </sheetData>
      <sheetData sheetId="2"/>
      <sheetData sheetId="3"/>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446813781.44999999</v>
          </cell>
        </row>
        <row r="96">
          <cell r="F96">
            <v>18048</v>
          </cell>
        </row>
      </sheetData>
      <sheetData sheetId="2"/>
      <sheetData sheetId="3"/>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594096140.19000006</v>
          </cell>
        </row>
        <row r="96">
          <cell r="F96">
            <v>24351</v>
          </cell>
        </row>
      </sheetData>
      <sheetData sheetId="2"/>
      <sheetData sheetId="3"/>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777145530.11000001</v>
          </cell>
        </row>
        <row r="96">
          <cell r="F96">
            <v>32179</v>
          </cell>
        </row>
      </sheetData>
      <sheetData sheetId="2"/>
      <sheetData sheetId="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5074879934.6299992</v>
          </cell>
        </row>
        <row r="125">
          <cell r="I125">
            <v>195797</v>
          </cell>
        </row>
      </sheetData>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1063369066.0299999</v>
          </cell>
        </row>
        <row r="96">
          <cell r="F96">
            <v>43869</v>
          </cell>
        </row>
      </sheetData>
      <sheetData sheetId="2"/>
      <sheetData sheetId="3"/>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1195730815.9199998</v>
          </cell>
        </row>
        <row r="96">
          <cell r="F96">
            <v>50423</v>
          </cell>
        </row>
      </sheetData>
      <sheetData sheetId="2"/>
      <sheetData sheetId="3"/>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 1"/>
      <sheetName val="PAG 2"/>
      <sheetName val="Plan3"/>
      <sheetName val="Plan4"/>
    </sheetNames>
    <sheetDataSet>
      <sheetData sheetId="0"/>
      <sheetData sheetId="1">
        <row r="94">
          <cell r="F94">
            <v>1397580371.5700002</v>
          </cell>
        </row>
        <row r="96">
          <cell r="F96">
            <v>61500</v>
          </cell>
        </row>
      </sheetData>
      <sheetData sheetId="2"/>
      <sheetData sheetId="3"/>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2008"/>
      <sheetName val="012008dados"/>
    </sheetNames>
    <sheetDataSet>
      <sheetData sheetId="0"/>
      <sheetData sheetId="1">
        <row r="111">
          <cell r="E111">
            <v>721416849.23000002</v>
          </cell>
        </row>
        <row r="112">
          <cell r="E112">
            <v>13744</v>
          </cell>
        </row>
      </sheetData>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2008"/>
      <sheetName val="022008dados"/>
    </sheetNames>
    <sheetDataSet>
      <sheetData sheetId="0"/>
      <sheetData sheetId="1">
        <row r="111">
          <cell r="E111">
            <v>763573944.74000001</v>
          </cell>
        </row>
        <row r="112">
          <cell r="E112">
            <v>14934</v>
          </cell>
        </row>
      </sheetData>
    </sheetDataSet>
  </externalBook>
</externalLink>
</file>

<file path=xl/externalLinks/externalLink1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2008"/>
      <sheetName val="032008dados"/>
    </sheetNames>
    <sheetDataSet>
      <sheetData sheetId="0"/>
      <sheetData sheetId="1">
        <row r="111">
          <cell r="E111">
            <v>818221225.57000005</v>
          </cell>
        </row>
        <row r="112">
          <cell r="E112">
            <v>16089</v>
          </cell>
        </row>
      </sheetData>
    </sheetDataSet>
  </externalBook>
</externalLink>
</file>

<file path=xl/externalLinks/externalLink1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2008"/>
      <sheetName val="042008dados"/>
    </sheetNames>
    <sheetDataSet>
      <sheetData sheetId="0"/>
      <sheetData sheetId="1">
        <row r="111">
          <cell r="E111">
            <v>896090649.09000003</v>
          </cell>
        </row>
        <row r="112">
          <cell r="E112">
            <v>17842</v>
          </cell>
        </row>
      </sheetData>
    </sheetDataSet>
  </externalBook>
</externalLink>
</file>

<file path=xl/externalLinks/externalLink1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2008"/>
      <sheetName val="052008dados"/>
    </sheetNames>
    <sheetDataSet>
      <sheetData sheetId="0"/>
      <sheetData sheetId="1">
        <row r="111">
          <cell r="E111">
            <v>968047783.44000006</v>
          </cell>
        </row>
        <row r="112">
          <cell r="E112">
            <v>19373</v>
          </cell>
        </row>
      </sheetData>
    </sheetDataSet>
  </externalBook>
</externalLink>
</file>

<file path=xl/externalLinks/externalLink1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008"/>
      <sheetName val="062008dados"/>
    </sheetNames>
    <sheetDataSet>
      <sheetData sheetId="0"/>
      <sheetData sheetId="1">
        <row r="111">
          <cell r="E111">
            <v>1035827822.95</v>
          </cell>
        </row>
        <row r="112">
          <cell r="E112">
            <v>20552</v>
          </cell>
        </row>
      </sheetData>
    </sheetDataSet>
  </externalBook>
</externalLink>
</file>

<file path=xl/externalLinks/externalLink1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2008"/>
      <sheetName val="072008dados"/>
    </sheetNames>
    <sheetDataSet>
      <sheetData sheetId="0"/>
      <sheetData sheetId="1">
        <row r="111">
          <cell r="E111">
            <v>1115012319.9100001</v>
          </cell>
        </row>
        <row r="112">
          <cell r="E112">
            <v>22171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AULEASING"/>
    </sheetNames>
    <sheetDataSet>
      <sheetData sheetId="0">
        <row r="110">
          <cell r="E110">
            <v>15492470958.279999</v>
          </cell>
        </row>
        <row r="112">
          <cell r="E112">
            <v>898225</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5543470395.2800007</v>
          </cell>
        </row>
        <row r="125">
          <cell r="I125">
            <v>218095</v>
          </cell>
        </row>
      </sheetData>
    </sheetDataSet>
  </externalBook>
</externalLink>
</file>

<file path=xl/externalLinks/externalLink2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82008"/>
      <sheetName val="082008dados"/>
    </sheetNames>
    <sheetDataSet>
      <sheetData sheetId="0"/>
      <sheetData sheetId="1">
        <row r="111">
          <cell r="E111">
            <v>1155116295.0100002</v>
          </cell>
        </row>
        <row r="112">
          <cell r="E112">
            <v>23514</v>
          </cell>
        </row>
      </sheetData>
    </sheetDataSet>
  </externalBook>
</externalLink>
</file>

<file path=xl/externalLinks/externalLink2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2008"/>
      <sheetName val="092008dados"/>
    </sheetNames>
    <sheetDataSet>
      <sheetData sheetId="0"/>
      <sheetData sheetId="1">
        <row r="111">
          <cell r="E111">
            <v>1199806036.8400002</v>
          </cell>
        </row>
        <row r="112">
          <cell r="E112">
            <v>24958</v>
          </cell>
        </row>
      </sheetData>
    </sheetDataSet>
  </externalBook>
</externalLink>
</file>

<file path=xl/externalLinks/externalLink2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2008"/>
      <sheetName val="102008dados"/>
    </sheetNames>
    <sheetDataSet>
      <sheetData sheetId="0"/>
      <sheetData sheetId="1">
        <row r="111">
          <cell r="E111">
            <v>1228012744.8799996</v>
          </cell>
        </row>
        <row r="112">
          <cell r="E112">
            <v>25877</v>
          </cell>
        </row>
      </sheetData>
    </sheetDataSet>
  </externalBook>
</externalLink>
</file>

<file path=xl/externalLinks/externalLink2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008"/>
      <sheetName val="112008dados"/>
    </sheetNames>
    <sheetDataSet>
      <sheetData sheetId="0"/>
      <sheetData sheetId="1">
        <row r="111">
          <cell r="E111">
            <v>1216692632.9999998</v>
          </cell>
        </row>
        <row r="112">
          <cell r="E112">
            <v>26029</v>
          </cell>
        </row>
      </sheetData>
    </sheetDataSet>
  </externalBook>
</externalLink>
</file>

<file path=xl/externalLinks/externalLink2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2008"/>
      <sheetName val="122008dados"/>
    </sheetNames>
    <sheetDataSet>
      <sheetData sheetId="0"/>
      <sheetData sheetId="1">
        <row r="111">
          <cell r="E111">
            <v>1202467706.74</v>
          </cell>
        </row>
        <row r="112">
          <cell r="E112">
            <v>26076</v>
          </cell>
        </row>
      </sheetData>
    </sheetDataSet>
  </externalBook>
</externalLink>
</file>

<file path=xl/externalLinks/externalLink2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518765580.19999999</v>
          </cell>
        </row>
        <row r="111">
          <cell r="D111">
            <v>118276</v>
          </cell>
        </row>
      </sheetData>
      <sheetData sheetId="1"/>
    </sheetDataSet>
  </externalBook>
</externalLink>
</file>

<file path=xl/externalLinks/externalLink2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560678126.76999998</v>
          </cell>
        </row>
        <row r="111">
          <cell r="D111">
            <v>122365</v>
          </cell>
        </row>
      </sheetData>
      <sheetData sheetId="1"/>
    </sheetDataSet>
  </externalBook>
</externalLink>
</file>

<file path=xl/externalLinks/externalLink2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609323866.47000003</v>
          </cell>
        </row>
        <row r="111">
          <cell r="D111">
            <v>126831</v>
          </cell>
        </row>
      </sheetData>
      <sheetData sheetId="1"/>
    </sheetDataSet>
  </externalBook>
</externalLink>
</file>

<file path=xl/externalLinks/externalLink2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670880983.50999999</v>
          </cell>
        </row>
        <row r="111">
          <cell r="D111">
            <v>132399</v>
          </cell>
        </row>
      </sheetData>
      <sheetData sheetId="1"/>
    </sheetDataSet>
  </externalBook>
</externalLink>
</file>

<file path=xl/externalLinks/externalLink2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735989048.01999998</v>
          </cell>
        </row>
        <row r="111">
          <cell r="D111">
            <v>138742</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3">
          <cell r="I123">
            <v>6181022896.9300003</v>
          </cell>
        </row>
        <row r="124">
          <cell r="I124">
            <v>245651</v>
          </cell>
        </row>
      </sheetData>
    </sheetDataSet>
  </externalBook>
</externalLink>
</file>

<file path=xl/externalLinks/externalLink2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835846700.57000005</v>
          </cell>
        </row>
        <row r="111">
          <cell r="D111">
            <v>149267</v>
          </cell>
        </row>
      </sheetData>
      <sheetData sheetId="1"/>
    </sheetDataSet>
  </externalBook>
</externalLink>
</file>

<file path=xl/externalLinks/externalLink2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1056275057.6999999</v>
          </cell>
        </row>
      </sheetData>
      <sheetData sheetId="1"/>
    </sheetDataSet>
  </externalBook>
</externalLink>
</file>

<file path=xl/externalLinks/externalLink2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1131007639.23</v>
          </cell>
        </row>
        <row r="111">
          <cell r="D111">
            <v>179470</v>
          </cell>
        </row>
      </sheetData>
      <sheetData sheetId="1"/>
    </sheetDataSet>
  </externalBook>
</externalLink>
</file>

<file path=xl/externalLinks/externalLink2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1105854273.74</v>
          </cell>
        </row>
        <row r="111">
          <cell r="D111">
            <v>176362</v>
          </cell>
        </row>
      </sheetData>
      <sheetData sheetId="1"/>
    </sheetDataSet>
  </externalBook>
</externalLink>
</file>

<file path=xl/externalLinks/externalLink2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1084685116.0599999</v>
          </cell>
        </row>
        <row r="111">
          <cell r="D111">
            <v>173534</v>
          </cell>
        </row>
      </sheetData>
      <sheetData sheetId="1"/>
    </sheetDataSet>
  </externalBook>
</externalLink>
</file>

<file path=xl/externalLinks/externalLink2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0">
          <cell r="D110">
            <v>1076947259.5799999</v>
          </cell>
        </row>
        <row r="111">
          <cell r="D111">
            <v>171368</v>
          </cell>
        </row>
      </sheetData>
      <sheetData sheetId="1"/>
    </sheetDataSet>
  </externalBook>
</externalLink>
</file>

<file path=xl/externalLinks/externalLink2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dados estatísticos"/>
      <sheetName val="quadro analitico"/>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row r="112">
          <cell r="D112">
            <v>217616295.20999998</v>
          </cell>
        </row>
        <row r="113">
          <cell r="D113">
            <v>4227</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 (2)"/>
      <sheetName val="dados estatísticos"/>
      <sheetName val="quadro analitico"/>
      <sheetName val="AJUSTES NO MES_FEV"/>
      <sheetName val="Residual Liquido_fev"/>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row r="112">
          <cell r="D112">
            <v>247533027.26000002</v>
          </cell>
        </row>
        <row r="113">
          <cell r="D113">
            <v>4891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 (2)"/>
      <sheetName val="dados estatísticos"/>
      <sheetName val="quadro analitico"/>
      <sheetName val="AJUSTES NO MES_mar"/>
      <sheetName val="Residual Liquido_mar"/>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row r="112">
          <cell r="D112">
            <v>284870027.26999998</v>
          </cell>
        </row>
        <row r="113">
          <cell r="D113">
            <v>5626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_Abril"/>
      <sheetName val="dados estatísticos"/>
      <sheetName val="quadro analitico"/>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row r="112">
          <cell r="D112">
            <v>348290732.46999991</v>
          </cell>
        </row>
        <row r="113">
          <cell r="D113">
            <v>6873</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47 ABEL QUADRO 1"/>
      <sheetName val="1147 ABEL QUADRO 2"/>
    </sheetNames>
    <sheetDataSet>
      <sheetData sheetId="0"/>
      <sheetData sheetId="1">
        <row r="124">
          <cell r="I124">
            <v>6902420489.6700001</v>
          </cell>
        </row>
        <row r="125">
          <cell r="I125">
            <v>274759</v>
          </cell>
        </row>
      </sheetData>
    </sheetDataSet>
  </externalBook>
</externalLink>
</file>

<file path=xl/externalLinks/externalLink2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_MAIO"/>
      <sheetName val="dados estatísticos"/>
      <sheetName val="quadro analitico"/>
      <sheetName val="AJUSTES NO MES_MAIO"/>
      <sheetName val="Residual Liquido_maio"/>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row r="112">
          <cell r="D112">
            <v>411462229.7899999</v>
          </cell>
        </row>
        <row r="113">
          <cell r="D113">
            <v>8110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_Junho"/>
      <sheetName val="dados estatísticos"/>
      <sheetName val="quadro analitico"/>
      <sheetName val="Ajuste no mes_junho"/>
      <sheetName val="Residual Liquido_JUNHO"/>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row r="112">
          <cell r="D112">
            <v>493015360.94000012</v>
          </cell>
        </row>
        <row r="113">
          <cell r="D113">
            <v>9733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_julho"/>
      <sheetName val="AJUSTES NO MES_julho"/>
      <sheetName val="dados estatísticos"/>
      <sheetName val="quadro analitico"/>
      <sheetName val="Residual Liquido_JULHO"/>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sheetData sheetId="6">
        <row r="112">
          <cell r="D112">
            <v>578870340.07000005</v>
          </cell>
        </row>
        <row r="113">
          <cell r="D113">
            <v>11552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_julho"/>
      <sheetName val="AJUSTES NO MES_julho"/>
      <sheetName val="dados estatísticos"/>
      <sheetName val="quadro analitico"/>
      <sheetName val="Residual Liquido_JULHO"/>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sheetData sheetId="6">
        <row r="112">
          <cell r="D112">
            <v>656582119.33000004</v>
          </cell>
        </row>
        <row r="113">
          <cell r="D113">
            <v>13253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_julho"/>
      <sheetName val="AJUSTES NO MES_julho"/>
      <sheetName val="balancete_Set"/>
      <sheetName val="dados estatísticos"/>
      <sheetName val="quadro analitico"/>
      <sheetName val="Carteira_SETEMBRO"/>
      <sheetName val="Residual Liquido_SETEMBRO"/>
      <sheetName val="Residual Liquido_JULHO"/>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sheetData sheetId="6"/>
      <sheetData sheetId="7">
        <row r="112">
          <cell r="D112">
            <v>753532607.72000003</v>
          </cell>
        </row>
        <row r="113">
          <cell r="D113">
            <v>15273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_julho"/>
      <sheetName val="AJUSTES NO MES_julho"/>
      <sheetName val="balancete_Set"/>
      <sheetName val="dados estatísticos"/>
      <sheetName val="quadro analitico"/>
      <sheetName val="Carteira"/>
      <sheetName val="Residual Liquido_"/>
      <sheetName val="Residual Liquido_JULHO"/>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sheetData sheetId="6"/>
      <sheetData sheetId="7">
        <row r="112">
          <cell r="D112">
            <v>862571859.55999994</v>
          </cell>
        </row>
        <row r="113">
          <cell r="D113">
            <v>17626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te Analitico_set07"/>
      <sheetName val="Balancete"/>
      <sheetName val="balancete_NOV"/>
      <sheetName val="AJUSTES NO MES_NOV"/>
      <sheetName val="balancete_julho"/>
      <sheetName val="AJUSTES NO MES_julho"/>
      <sheetName val="balancete-atual"/>
      <sheetName val="dados estatísticos"/>
      <sheetName val="quadro analitico"/>
      <sheetName val="Carteira"/>
      <sheetName val="Residual Liquido_"/>
      <sheetName val="Residual Liquido_JULHO"/>
      <sheetName val="Residual Liquido_JAN"/>
      <sheetName val="AJUSTES NO MES_JAN"/>
      <sheetName val="4150_Jan"/>
      <sheetName val="Residual Liquido_nov"/>
      <sheetName val="Residual Liquido (2)"/>
      <sheetName val="AJUSTES NO MES"/>
      <sheetName val="pdd (2)"/>
      <sheetName val="4150 (2)"/>
      <sheetName val="Residual Liquido"/>
      <sheetName val="4150"/>
      <sheetName val="pdd"/>
    </sheetNames>
    <sheetDataSet>
      <sheetData sheetId="0"/>
      <sheetData sheetId="1"/>
      <sheetData sheetId="2"/>
      <sheetData sheetId="3"/>
      <sheetData sheetId="4"/>
      <sheetData sheetId="5"/>
      <sheetData sheetId="6"/>
      <sheetData sheetId="7">
        <row r="112">
          <cell r="D112">
            <v>1048517438.4099997</v>
          </cell>
        </row>
        <row r="113">
          <cell r="D113">
            <v>23773</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JUN"/>
      <sheetName val="GERAL"/>
    </sheetNames>
    <sheetDataSet>
      <sheetData sheetId="0"/>
      <sheetData sheetId="1">
        <row r="110">
          <cell r="E110">
            <v>66359706.510000005</v>
          </cell>
        </row>
        <row r="113">
          <cell r="E113">
            <v>2561</v>
          </cell>
        </row>
      </sheetData>
    </sheetDataSet>
  </externalBook>
</externalLink>
</file>

<file path=xl/externalLinks/externalLink2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JUL"/>
      <sheetName val="GERAL"/>
    </sheetNames>
    <sheetDataSet>
      <sheetData sheetId="0"/>
      <sheetData sheetId="1">
        <row r="110">
          <cell r="E110">
            <v>270079502.89999998</v>
          </cell>
        </row>
        <row r="113">
          <cell r="E113">
            <v>10604</v>
          </cell>
        </row>
      </sheetData>
    </sheetDataSet>
  </externalBook>
</externalLink>
</file>

<file path=xl/externalLinks/externalLink2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AGO"/>
      <sheetName val="GERAL"/>
    </sheetNames>
    <sheetDataSet>
      <sheetData sheetId="0"/>
      <sheetData sheetId="1">
        <row r="78">
          <cell r="D78">
            <v>199284064.19999999</v>
          </cell>
        </row>
        <row r="81">
          <cell r="E81">
            <v>8795</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3">
          <cell r="I123">
            <v>7419171391.7600002</v>
          </cell>
        </row>
        <row r="124">
          <cell r="I124">
            <v>299743</v>
          </cell>
        </row>
      </sheetData>
    </sheetDataSet>
  </externalBook>
</externalLink>
</file>

<file path=xl/externalLinks/externalLink2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SET"/>
      <sheetName val="GERAL"/>
    </sheetNames>
    <sheetDataSet>
      <sheetData sheetId="0"/>
      <sheetData sheetId="1">
        <row r="110">
          <cell r="E110">
            <v>791209183.67999995</v>
          </cell>
        </row>
        <row r="113">
          <cell r="E113">
            <v>32014</v>
          </cell>
        </row>
      </sheetData>
    </sheetDataSet>
  </externalBook>
</externalLink>
</file>

<file path=xl/externalLinks/externalLink2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OUT"/>
      <sheetName val="GERAL"/>
    </sheetNames>
    <sheetDataSet>
      <sheetData sheetId="0"/>
      <sheetData sheetId="1">
        <row r="110">
          <cell r="E110">
            <v>873816139.00999999</v>
          </cell>
        </row>
        <row r="113">
          <cell r="E113">
            <v>36029</v>
          </cell>
        </row>
      </sheetData>
    </sheetDataSet>
  </externalBook>
</externalLink>
</file>

<file path=xl/externalLinks/externalLink2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NOV"/>
      <sheetName val="GERAL"/>
    </sheetNames>
    <sheetDataSet>
      <sheetData sheetId="0"/>
      <sheetData sheetId="1">
        <row r="110">
          <cell r="E110">
            <v>867689021.69000006</v>
          </cell>
        </row>
        <row r="113">
          <cell r="E113">
            <v>36189</v>
          </cell>
        </row>
      </sheetData>
    </sheetDataSet>
  </externalBook>
</externalLink>
</file>

<file path=xl/externalLinks/externalLink2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DEZ"/>
      <sheetName val="GERAL"/>
    </sheetNames>
    <sheetDataSet>
      <sheetData sheetId="0" refreshError="1"/>
      <sheetData sheetId="1">
        <row r="110">
          <cell r="E110">
            <v>852478468.01000011</v>
          </cell>
        </row>
        <row r="113">
          <cell r="E113">
            <v>36107</v>
          </cell>
        </row>
      </sheetData>
    </sheetDataSet>
  </externalBook>
</externalLink>
</file>

<file path=xl/externalLinks/externalLink2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664160541.80999994</v>
          </cell>
        </row>
        <row r="8">
          <cell r="D8">
            <v>26875</v>
          </cell>
        </row>
      </sheetData>
    </sheetDataSet>
  </externalBook>
</externalLink>
</file>

<file path=xl/externalLinks/externalLink2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1714715866.9200001</v>
          </cell>
        </row>
        <row r="8">
          <cell r="D8">
            <v>29729</v>
          </cell>
        </row>
      </sheetData>
    </sheetDataSet>
  </externalBook>
</externalLink>
</file>

<file path=xl/externalLinks/externalLink2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1980659807.04</v>
          </cell>
        </row>
        <row r="8">
          <cell r="D8">
            <v>34284</v>
          </cell>
        </row>
      </sheetData>
    </sheetDataSet>
  </externalBook>
</externalLink>
</file>

<file path=xl/externalLinks/externalLink2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2407511519.71</v>
          </cell>
        </row>
        <row r="8">
          <cell r="D8">
            <v>41602</v>
          </cell>
        </row>
      </sheetData>
    </sheetDataSet>
  </externalBook>
</externalLink>
</file>

<file path=xl/externalLinks/externalLink2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994631239.47000003</v>
          </cell>
        </row>
        <row r="8">
          <cell r="D8">
            <v>41290</v>
          </cell>
        </row>
      </sheetData>
    </sheetDataSet>
  </externalBook>
</externalLink>
</file>

<file path=xl/externalLinks/externalLink2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965166950.34000015</v>
          </cell>
        </row>
        <row r="18">
          <cell r="D18">
            <v>40948</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8058150187.8499985</v>
          </cell>
        </row>
        <row r="125">
          <cell r="I125">
            <v>332338</v>
          </cell>
        </row>
      </sheetData>
    </sheetDataSet>
  </externalBook>
</externalLink>
</file>

<file path=xl/externalLinks/externalLink2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907159050.11000001</v>
          </cell>
        </row>
      </sheetData>
    </sheetDataSet>
  </externalBook>
</externalLink>
</file>

<file path=xl/externalLinks/externalLink2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873701651.95999992</v>
          </cell>
        </row>
      </sheetData>
    </sheetDataSet>
  </externalBook>
</externalLink>
</file>

<file path=xl/externalLinks/externalLink2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845761727.21000004</v>
          </cell>
        </row>
      </sheetData>
    </sheetDataSet>
  </externalBook>
</externalLink>
</file>

<file path=xl/externalLinks/externalLink2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822088408.36000001</v>
          </cell>
        </row>
      </sheetData>
    </sheetDataSet>
  </externalBook>
</externalLink>
</file>

<file path=xl/externalLinks/externalLink2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792501908.7099998</v>
          </cell>
        </row>
      </sheetData>
    </sheetDataSet>
  </externalBook>
</externalLink>
</file>

<file path=xl/externalLinks/externalLink2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JAN"/>
      <sheetName val="GERAL"/>
    </sheetNames>
    <sheetDataSet>
      <sheetData sheetId="0"/>
      <sheetData sheetId="1">
        <row r="110">
          <cell r="E110">
            <v>398439722.30999994</v>
          </cell>
        </row>
        <row r="113">
          <cell r="E113">
            <v>14131</v>
          </cell>
        </row>
      </sheetData>
    </sheetDataSet>
  </externalBook>
</externalLink>
</file>

<file path=xl/externalLinks/externalLink2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FEV"/>
      <sheetName val="GERAL"/>
    </sheetNames>
    <sheetDataSet>
      <sheetData sheetId="0"/>
      <sheetData sheetId="1">
        <row r="110">
          <cell r="E110">
            <v>414175652.19000006</v>
          </cell>
        </row>
        <row r="113">
          <cell r="E113">
            <v>14248</v>
          </cell>
        </row>
      </sheetData>
    </sheetDataSet>
  </externalBook>
</externalLink>
</file>

<file path=xl/externalLinks/externalLink2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MAR"/>
      <sheetName val="GERAL"/>
    </sheetNames>
    <sheetDataSet>
      <sheetData sheetId="0"/>
      <sheetData sheetId="1">
        <row r="110">
          <cell r="E110">
            <v>433319830</v>
          </cell>
        </row>
        <row r="113">
          <cell r="E113">
            <v>14416</v>
          </cell>
        </row>
      </sheetData>
    </sheetDataSet>
  </externalBook>
</externalLink>
</file>

<file path=xl/externalLinks/externalLink2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ABR"/>
      <sheetName val="GERAL"/>
    </sheetNames>
    <sheetDataSet>
      <sheetData sheetId="0"/>
      <sheetData sheetId="1">
        <row r="110">
          <cell r="E110">
            <v>474591408.1699999</v>
          </cell>
        </row>
        <row r="113">
          <cell r="E113">
            <v>15149</v>
          </cell>
        </row>
      </sheetData>
    </sheetDataSet>
  </externalBook>
</externalLink>
</file>

<file path=xl/externalLinks/externalLink2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MAI"/>
      <sheetName val="GERAL"/>
    </sheetNames>
    <sheetDataSet>
      <sheetData sheetId="0"/>
      <sheetData sheetId="1">
        <row r="110">
          <cell r="E110">
            <v>578048021.11000001</v>
          </cell>
        </row>
        <row r="113">
          <cell r="E113">
            <v>18275</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3">
          <cell r="I123">
            <v>8581259779.9400015</v>
          </cell>
        </row>
        <row r="124">
          <cell r="I124">
            <v>353626</v>
          </cell>
        </row>
      </sheetData>
    </sheetDataSet>
  </externalBook>
</externalLink>
</file>

<file path=xl/externalLinks/externalLink2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JUN"/>
      <sheetName val="GERAL"/>
    </sheetNames>
    <sheetDataSet>
      <sheetData sheetId="0"/>
      <sheetData sheetId="1">
        <row r="110">
          <cell r="E110">
            <v>622231422.32999992</v>
          </cell>
        </row>
        <row r="113">
          <cell r="E113">
            <v>19540</v>
          </cell>
        </row>
      </sheetData>
    </sheetDataSet>
  </externalBook>
</externalLink>
</file>

<file path=xl/externalLinks/externalLink2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JUL"/>
      <sheetName val="GERAL"/>
    </sheetNames>
    <sheetDataSet>
      <sheetData sheetId="0"/>
      <sheetData sheetId="1">
        <row r="110">
          <cell r="E110">
            <v>653384656.58999991</v>
          </cell>
        </row>
        <row r="113">
          <cell r="E113">
            <v>19730</v>
          </cell>
        </row>
      </sheetData>
    </sheetDataSet>
  </externalBook>
</externalLink>
</file>

<file path=xl/externalLinks/externalLink2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AGO"/>
      <sheetName val="GERAL"/>
    </sheetNames>
    <sheetDataSet>
      <sheetData sheetId="0"/>
      <sheetData sheetId="1">
        <row r="110">
          <cell r="E110">
            <v>682206093.50999999</v>
          </cell>
        </row>
        <row r="113">
          <cell r="E113">
            <v>19893</v>
          </cell>
        </row>
      </sheetData>
    </sheetDataSet>
  </externalBook>
</externalLink>
</file>

<file path=xl/externalLinks/externalLink2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SET"/>
      <sheetName val="GERAL"/>
    </sheetNames>
    <sheetDataSet>
      <sheetData sheetId="0"/>
      <sheetData sheetId="1">
        <row r="110">
          <cell r="E110">
            <v>714229215.71000004</v>
          </cell>
        </row>
        <row r="113">
          <cell r="E113">
            <v>20162</v>
          </cell>
        </row>
      </sheetData>
    </sheetDataSet>
  </externalBook>
</externalLink>
</file>

<file path=xl/externalLinks/externalLink2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OUT"/>
      <sheetName val="GERAL"/>
    </sheetNames>
    <sheetDataSet>
      <sheetData sheetId="0"/>
      <sheetData sheetId="1">
        <row r="110">
          <cell r="E110">
            <v>759383277.6099999</v>
          </cell>
        </row>
        <row r="113">
          <cell r="E113">
            <v>20385</v>
          </cell>
        </row>
      </sheetData>
    </sheetDataSet>
  </externalBook>
</externalLink>
</file>

<file path=xl/externalLinks/externalLink2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NOV"/>
      <sheetName val="GERAL"/>
    </sheetNames>
    <sheetDataSet>
      <sheetData sheetId="0"/>
      <sheetData sheetId="1">
        <row r="111">
          <cell r="E111">
            <v>762835452.75999987</v>
          </cell>
        </row>
        <row r="114">
          <cell r="E114">
            <v>20298</v>
          </cell>
        </row>
      </sheetData>
    </sheetDataSet>
  </externalBook>
</externalLink>
</file>

<file path=xl/externalLinks/externalLink2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TISTICA-DEZ"/>
      <sheetName val="GERAL"/>
    </sheetNames>
    <sheetDataSet>
      <sheetData sheetId="0"/>
      <sheetData sheetId="1">
        <row r="109">
          <cell r="E109">
            <v>773693870.06000006</v>
          </cell>
        </row>
        <row r="112">
          <cell r="E112">
            <v>20345</v>
          </cell>
        </row>
      </sheetData>
    </sheetDataSet>
  </externalBook>
</externalLink>
</file>

<file path=xl/externalLinks/externalLink2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533175790.90000004</v>
          </cell>
        </row>
        <row r="112">
          <cell r="D112">
            <v>939</v>
          </cell>
        </row>
      </sheetData>
      <sheetData sheetId="1"/>
    </sheetDataSet>
  </externalBook>
</externalLink>
</file>

<file path=xl/externalLinks/externalLink2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573180685.63</v>
          </cell>
        </row>
        <row r="112">
          <cell r="D112">
            <v>960</v>
          </cell>
        </row>
      </sheetData>
      <sheetData sheetId="1"/>
    </sheetDataSet>
  </externalBook>
</externalLink>
</file>

<file path=xl/externalLinks/externalLink2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599175082.53999996</v>
          </cell>
        </row>
        <row r="112">
          <cell r="D112">
            <v>971</v>
          </cell>
        </row>
      </sheetData>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3">
          <cell r="I123">
            <v>8989440856.8999977</v>
          </cell>
        </row>
        <row r="124">
          <cell r="I124">
            <v>375304</v>
          </cell>
        </row>
      </sheetData>
    </sheetDataSet>
  </externalBook>
</externalLink>
</file>

<file path=xl/externalLinks/externalLink2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598601614.72000003</v>
          </cell>
        </row>
        <row r="112">
          <cell r="D112">
            <v>1000</v>
          </cell>
        </row>
      </sheetData>
      <sheetData sheetId="1"/>
    </sheetDataSet>
  </externalBook>
</externalLink>
</file>

<file path=xl/externalLinks/externalLink2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581617691.95999992</v>
          </cell>
        </row>
        <row r="112">
          <cell r="D112">
            <v>1017</v>
          </cell>
        </row>
      </sheetData>
      <sheetData sheetId="1"/>
    </sheetDataSet>
  </externalBook>
</externalLink>
</file>

<file path=xl/externalLinks/externalLink2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579697049.82000005</v>
          </cell>
        </row>
        <row r="112">
          <cell r="D112">
            <v>1039</v>
          </cell>
        </row>
      </sheetData>
      <sheetData sheetId="1"/>
    </sheetDataSet>
  </externalBook>
</externalLink>
</file>

<file path=xl/externalLinks/externalLink2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627239590.40999997</v>
          </cell>
        </row>
        <row r="112">
          <cell r="D112">
            <v>1068</v>
          </cell>
        </row>
      </sheetData>
      <sheetData sheetId="1"/>
    </sheetDataSet>
  </externalBook>
</externalLink>
</file>

<file path=xl/externalLinks/externalLink2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624794916.83999991</v>
          </cell>
        </row>
        <row r="112">
          <cell r="D112">
            <v>1103</v>
          </cell>
        </row>
      </sheetData>
      <sheetData sheetId="1"/>
    </sheetDataSet>
  </externalBook>
</externalLink>
</file>

<file path=xl/externalLinks/externalLink2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630718894.86000001</v>
          </cell>
        </row>
        <row r="112">
          <cell r="D112">
            <v>1146</v>
          </cell>
        </row>
      </sheetData>
      <sheetData sheetId="1"/>
    </sheetDataSet>
  </externalBook>
</externalLink>
</file>

<file path=xl/externalLinks/externalLink2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634432902.78000009</v>
          </cell>
        </row>
        <row r="112">
          <cell r="D112">
            <v>1225</v>
          </cell>
        </row>
      </sheetData>
      <sheetData sheetId="1"/>
    </sheetDataSet>
  </externalBook>
</externalLink>
</file>

<file path=xl/externalLinks/externalLink2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639361324.66999996</v>
          </cell>
        </row>
        <row r="112">
          <cell r="D112">
            <v>1284</v>
          </cell>
        </row>
      </sheetData>
      <sheetData sheetId="1"/>
    </sheetDataSet>
  </externalBook>
</externalLink>
</file>

<file path=xl/externalLinks/externalLink2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704273650.93000007</v>
          </cell>
        </row>
        <row r="112">
          <cell r="D112">
            <v>1342</v>
          </cell>
        </row>
      </sheetData>
      <sheetData sheetId="1"/>
    </sheetDataSet>
  </externalBook>
</externalLink>
</file>

<file path=xl/externalLinks/externalLink2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989680916.06000006</v>
          </cell>
        </row>
        <row r="96">
          <cell r="F96">
            <v>25729</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3">
          <cell r="I123">
            <v>9686845392.3799973</v>
          </cell>
        </row>
        <row r="124">
          <cell r="I124">
            <v>410542</v>
          </cell>
        </row>
      </sheetData>
    </sheetDataSet>
  </externalBook>
</externalLink>
</file>

<file path=xl/externalLinks/externalLink2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941266180.25</v>
          </cell>
        </row>
        <row r="96">
          <cell r="F96">
            <v>25316</v>
          </cell>
        </row>
      </sheetData>
    </sheetDataSet>
  </externalBook>
</externalLink>
</file>

<file path=xl/externalLinks/externalLink2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890796529.41999996</v>
          </cell>
        </row>
        <row r="96">
          <cell r="F96">
            <v>24901</v>
          </cell>
        </row>
      </sheetData>
    </sheetDataSet>
  </externalBook>
</externalLink>
</file>

<file path=xl/externalLinks/externalLink2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12 ABEL QUADRO 1"/>
      <sheetName val="1112 ABEL QUADRO 2"/>
    </sheetNames>
    <sheetDataSet>
      <sheetData sheetId="0"/>
      <sheetData sheetId="1">
        <row r="95">
          <cell r="F95">
            <v>840006148.61999989</v>
          </cell>
        </row>
        <row r="96">
          <cell r="F96">
            <v>23488</v>
          </cell>
        </row>
      </sheetData>
    </sheetDataSet>
  </externalBook>
</externalLink>
</file>

<file path=xl/externalLinks/externalLink2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793609193.80999994</v>
          </cell>
        </row>
        <row r="96">
          <cell r="F96">
            <v>23079</v>
          </cell>
        </row>
      </sheetData>
    </sheetDataSet>
  </externalBook>
</externalLink>
</file>

<file path=xl/externalLinks/externalLink2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747060883.90999997</v>
          </cell>
        </row>
        <row r="96">
          <cell r="F96">
            <v>22664</v>
          </cell>
        </row>
      </sheetData>
    </sheetDataSet>
  </externalBook>
</externalLink>
</file>

<file path=xl/externalLinks/externalLink2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696241626.5</v>
          </cell>
        </row>
        <row r="96">
          <cell r="F96">
            <v>20870</v>
          </cell>
        </row>
      </sheetData>
    </sheetDataSet>
  </externalBook>
</externalLink>
</file>

<file path=xl/externalLinks/externalLink2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665232419.77999985</v>
          </cell>
        </row>
        <row r="96">
          <cell r="F96">
            <v>20476</v>
          </cell>
        </row>
      </sheetData>
    </sheetDataSet>
  </externalBook>
</externalLink>
</file>

<file path=xl/externalLinks/externalLink2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625351087.30999994</v>
          </cell>
        </row>
        <row r="96">
          <cell r="F96">
            <v>20011</v>
          </cell>
        </row>
      </sheetData>
    </sheetDataSet>
  </externalBook>
</externalLink>
</file>

<file path=xl/externalLinks/externalLink2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587793185.49000001</v>
          </cell>
        </row>
        <row r="96">
          <cell r="F96">
            <v>18322</v>
          </cell>
        </row>
      </sheetData>
    </sheetDataSet>
  </externalBook>
</externalLink>
</file>

<file path=xl/externalLinks/externalLink2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555589501.32999992</v>
          </cell>
        </row>
        <row r="96">
          <cell r="F96">
            <v>17935</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9859051645.7599983</v>
          </cell>
        </row>
        <row r="125">
          <cell r="I125">
            <v>414327</v>
          </cell>
        </row>
      </sheetData>
    </sheetDataSet>
  </externalBook>
</externalLink>
</file>

<file path=xl/externalLinks/externalLink2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95">
          <cell r="F95">
            <v>518557394.79000002</v>
          </cell>
        </row>
        <row r="96">
          <cell r="F96">
            <v>17507</v>
          </cell>
        </row>
      </sheetData>
    </sheetDataSet>
  </externalBook>
</externalLink>
</file>

<file path=xl/externalLinks/externalLink2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UADRO"/>
      <sheetName val="2QUADRO"/>
    </sheetNames>
    <sheetDataSet>
      <sheetData sheetId="0"/>
      <sheetData sheetId="1">
        <row r="111">
          <cell r="E111">
            <v>396262508.023</v>
          </cell>
        </row>
        <row r="112">
          <cell r="E112">
            <v>5176</v>
          </cell>
        </row>
      </sheetData>
    </sheetDataSet>
  </externalBook>
</externalLink>
</file>

<file path=xl/externalLinks/externalLink2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UADRO"/>
      <sheetName val="2QUADRO"/>
    </sheetNames>
    <sheetDataSet>
      <sheetData sheetId="0"/>
      <sheetData sheetId="1">
        <row r="111">
          <cell r="E111">
            <v>388277050.82299995</v>
          </cell>
        </row>
        <row r="112">
          <cell r="E112">
            <v>5324</v>
          </cell>
        </row>
      </sheetData>
    </sheetDataSet>
  </externalBook>
</externalLink>
</file>

<file path=xl/externalLinks/externalLink2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UADRO"/>
      <sheetName val="2QUADRO"/>
    </sheetNames>
    <sheetDataSet>
      <sheetData sheetId="0"/>
      <sheetData sheetId="1">
        <row r="111">
          <cell r="E111">
            <v>376225710.023</v>
          </cell>
        </row>
        <row r="112">
          <cell r="E112">
            <v>5398</v>
          </cell>
        </row>
      </sheetData>
    </sheetDataSet>
  </externalBook>
</externalLink>
</file>

<file path=xl/externalLinks/externalLink2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UADRO"/>
      <sheetName val="2QUADRO"/>
    </sheetNames>
    <sheetDataSet>
      <sheetData sheetId="0"/>
      <sheetData sheetId="1">
        <row r="112">
          <cell r="G112">
            <v>585099369</v>
          </cell>
        </row>
        <row r="113">
          <cell r="F113">
            <v>5750</v>
          </cell>
        </row>
      </sheetData>
    </sheetDataSet>
  </externalBook>
</externalLink>
</file>

<file path=xl/externalLinks/externalLink2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UADRO"/>
      <sheetName val="2QUADRO"/>
    </sheetNames>
    <sheetDataSet>
      <sheetData sheetId="0"/>
      <sheetData sheetId="1">
        <row r="112">
          <cell r="F112">
            <v>461866448.96999997</v>
          </cell>
        </row>
        <row r="113">
          <cell r="F113">
            <v>5750</v>
          </cell>
        </row>
      </sheetData>
    </sheetDataSet>
  </externalBook>
</externalLink>
</file>

<file path=xl/externalLinks/externalLink2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UADRO"/>
      <sheetName val="2QUADRO"/>
    </sheetNames>
    <sheetDataSet>
      <sheetData sheetId="0"/>
      <sheetData sheetId="1">
        <row r="112">
          <cell r="F112">
            <v>458420604.56999993</v>
          </cell>
        </row>
        <row r="113">
          <cell r="F113">
            <v>5549</v>
          </cell>
        </row>
      </sheetData>
    </sheetDataSet>
  </externalBook>
</externalLink>
</file>

<file path=xl/externalLinks/externalLink2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258015994.46000001</v>
          </cell>
        </row>
        <row r="112">
          <cell r="D112">
            <v>6591</v>
          </cell>
        </row>
      </sheetData>
      <sheetData sheetId="1"/>
    </sheetDataSet>
  </externalBook>
</externalLink>
</file>

<file path=xl/externalLinks/externalLink2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261934019.25</v>
          </cell>
        </row>
        <row r="112">
          <cell r="D112">
            <v>6591</v>
          </cell>
        </row>
      </sheetData>
      <sheetData sheetId="1"/>
    </sheetDataSet>
  </externalBook>
</externalLink>
</file>

<file path=xl/externalLinks/externalLink2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279319157.38</v>
          </cell>
        </row>
        <row r="112">
          <cell r="D112">
            <v>6591</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3">
          <cell r="I123">
            <v>10028054842.200001</v>
          </cell>
        </row>
        <row r="124">
          <cell r="I124">
            <v>430134</v>
          </cell>
        </row>
      </sheetData>
    </sheetDataSet>
  </externalBook>
</externalLink>
</file>

<file path=xl/externalLinks/externalLink2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284867057.02999997</v>
          </cell>
        </row>
        <row r="112">
          <cell r="D112">
            <v>6591</v>
          </cell>
        </row>
      </sheetData>
      <sheetData sheetId="1"/>
    </sheetDataSet>
  </externalBook>
</externalLink>
</file>

<file path=xl/externalLinks/externalLink2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292188009.52999997</v>
          </cell>
        </row>
        <row r="112">
          <cell r="D112">
            <v>6591</v>
          </cell>
        </row>
      </sheetData>
      <sheetData sheetId="1"/>
    </sheetDataSet>
  </externalBook>
</externalLink>
</file>

<file path=xl/externalLinks/externalLink2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273904567.50999999</v>
          </cell>
        </row>
        <row r="112">
          <cell r="D112">
            <v>8164</v>
          </cell>
        </row>
      </sheetData>
      <sheetData sheetId="1"/>
    </sheetDataSet>
  </externalBook>
</externalLink>
</file>

<file path=xl/externalLinks/externalLink2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277158087.73000002</v>
          </cell>
        </row>
        <row r="112">
          <cell r="D112">
            <v>8275</v>
          </cell>
        </row>
      </sheetData>
      <sheetData sheetId="1"/>
    </sheetDataSet>
  </externalBook>
</externalLink>
</file>

<file path=xl/externalLinks/externalLink2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300115866.80000001</v>
          </cell>
        </row>
        <row r="112">
          <cell r="D112">
            <v>8439</v>
          </cell>
        </row>
      </sheetData>
      <sheetData sheetId="1"/>
    </sheetDataSet>
  </externalBook>
</externalLink>
</file>

<file path=xl/externalLinks/externalLink2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308305317.60000002</v>
          </cell>
        </row>
        <row r="112">
          <cell r="D112">
            <v>8439</v>
          </cell>
        </row>
      </sheetData>
      <sheetData sheetId="1"/>
    </sheetDataSet>
  </externalBook>
</externalLink>
</file>

<file path=xl/externalLinks/externalLink2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322048984.69999999</v>
          </cell>
        </row>
        <row r="112">
          <cell r="D112">
            <v>8591</v>
          </cell>
        </row>
      </sheetData>
      <sheetData sheetId="1"/>
    </sheetDataSet>
  </externalBook>
</externalLink>
</file>

<file path=xl/externalLinks/externalLink2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342986560</v>
          </cell>
        </row>
        <row r="112">
          <cell r="D112">
            <v>8591</v>
          </cell>
        </row>
      </sheetData>
      <sheetData sheetId="1"/>
    </sheetDataSet>
  </externalBook>
</externalLink>
</file>

<file path=xl/externalLinks/externalLink2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336195865.96999991</v>
          </cell>
        </row>
        <row r="112">
          <cell r="D112">
            <v>2521</v>
          </cell>
        </row>
      </sheetData>
      <sheetData sheetId="1"/>
    </sheetDataSet>
  </externalBook>
</externalLink>
</file>

<file path=xl/externalLinks/externalLink2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323451979.01999992</v>
          </cell>
        </row>
        <row r="112">
          <cell r="D112">
            <v>2416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16858036721.09</v>
          </cell>
        </row>
        <row r="112">
          <cell r="E112">
            <v>939588</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10298382945.800001</v>
          </cell>
        </row>
        <row r="125">
          <cell r="I125">
            <v>453792</v>
          </cell>
        </row>
      </sheetData>
    </sheetDataSet>
  </externalBook>
</externalLink>
</file>

<file path=xl/externalLinks/externalLink3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310240773.97999996</v>
          </cell>
        </row>
        <row r="112">
          <cell r="D112">
            <v>2288</v>
          </cell>
        </row>
      </sheetData>
      <sheetData sheetId="1"/>
    </sheetDataSet>
  </externalBook>
</externalLink>
</file>

<file path=xl/externalLinks/externalLink3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294166651.88</v>
          </cell>
        </row>
        <row r="112">
          <cell r="D112">
            <v>2161</v>
          </cell>
        </row>
      </sheetData>
      <sheetData sheetId="1"/>
    </sheetDataSet>
  </externalBook>
</externalLink>
</file>

<file path=xl/externalLinks/externalLink3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276070528.73999995</v>
          </cell>
        </row>
        <row r="112">
          <cell r="D112">
            <v>2161</v>
          </cell>
        </row>
      </sheetData>
      <sheetData sheetId="1"/>
    </sheetDataSet>
  </externalBook>
</externalLink>
</file>

<file path=xl/externalLinks/externalLink3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262164647.49000007</v>
          </cell>
        </row>
        <row r="112">
          <cell r="E112">
            <v>949</v>
          </cell>
        </row>
      </sheetData>
    </sheetDataSet>
  </externalBook>
</externalLink>
</file>

<file path=xl/externalLinks/externalLink3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259788040.85999998</v>
          </cell>
        </row>
        <row r="112">
          <cell r="E112">
            <v>887</v>
          </cell>
        </row>
      </sheetData>
    </sheetDataSet>
  </externalBook>
</externalLink>
</file>

<file path=xl/externalLinks/externalLink3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269185276.19</v>
          </cell>
        </row>
        <row r="112">
          <cell r="E112">
            <v>839</v>
          </cell>
        </row>
      </sheetData>
    </sheetDataSet>
  </externalBook>
</externalLink>
</file>

<file path=xl/externalLinks/externalLink3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266653265.42000002</v>
          </cell>
        </row>
        <row r="112">
          <cell r="E112">
            <v>1730</v>
          </cell>
        </row>
      </sheetData>
    </sheetDataSet>
  </externalBook>
</externalLink>
</file>

<file path=xl/externalLinks/externalLink3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284904403.89999998</v>
          </cell>
        </row>
        <row r="112">
          <cell r="E112">
            <v>1647</v>
          </cell>
        </row>
      </sheetData>
    </sheetDataSet>
  </externalBook>
</externalLink>
</file>

<file path=xl/externalLinks/externalLink3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283938295.02999997</v>
          </cell>
        </row>
        <row r="112">
          <cell r="E112">
            <v>1555</v>
          </cell>
        </row>
      </sheetData>
    </sheetDataSet>
  </externalBook>
</externalLink>
</file>

<file path=xl/externalLinks/externalLink3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283277990.85000002</v>
          </cell>
        </row>
        <row r="112">
          <cell r="E112">
            <v>1445</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5933634875.5499992</v>
          </cell>
        </row>
        <row r="112">
          <cell r="D112">
            <v>198874</v>
          </cell>
        </row>
      </sheetData>
      <sheetData sheetId="1"/>
    </sheetDataSet>
  </externalBook>
</externalLink>
</file>

<file path=xl/externalLinks/externalLink3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94954587.340000004</v>
          </cell>
        </row>
        <row r="125">
          <cell r="I125">
            <v>3298</v>
          </cell>
        </row>
      </sheetData>
    </sheetDataSet>
  </externalBook>
</externalLink>
</file>

<file path=xl/externalLinks/externalLink3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93724976.290000021</v>
          </cell>
        </row>
        <row r="125">
          <cell r="I125">
            <v>3341</v>
          </cell>
        </row>
      </sheetData>
    </sheetDataSet>
  </externalBook>
</externalLink>
</file>

<file path=xl/externalLinks/externalLink3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101926549.83</v>
          </cell>
        </row>
        <row r="125">
          <cell r="I125">
            <v>3720</v>
          </cell>
        </row>
      </sheetData>
    </sheetDataSet>
  </externalBook>
</externalLink>
</file>

<file path=xl/externalLinks/externalLink3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127836097.23000003</v>
          </cell>
        </row>
        <row r="125">
          <cell r="I125">
            <v>4650</v>
          </cell>
        </row>
      </sheetData>
    </sheetDataSet>
  </externalBook>
</externalLink>
</file>

<file path=xl/externalLinks/externalLink3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152027683.54000002</v>
          </cell>
        </row>
        <row r="125">
          <cell r="I125">
            <v>5666</v>
          </cell>
        </row>
      </sheetData>
    </sheetDataSet>
  </externalBook>
</externalLink>
</file>

<file path=xl/externalLinks/externalLink3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179715868.05000001</v>
          </cell>
        </row>
        <row r="125">
          <cell r="I125">
            <v>6860</v>
          </cell>
        </row>
      </sheetData>
    </sheetDataSet>
  </externalBook>
</externalLink>
</file>

<file path=xl/externalLinks/externalLink3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209011689.68999997</v>
          </cell>
        </row>
        <row r="125">
          <cell r="I125">
            <v>8003</v>
          </cell>
        </row>
      </sheetData>
    </sheetDataSet>
  </externalBook>
</externalLink>
</file>

<file path=xl/externalLinks/externalLink3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237263043.49000001</v>
          </cell>
        </row>
        <row r="125">
          <cell r="I125">
            <v>9250</v>
          </cell>
        </row>
      </sheetData>
    </sheetDataSet>
  </externalBook>
</externalLink>
</file>

<file path=xl/externalLinks/externalLink3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257679873.31999999</v>
          </cell>
        </row>
        <row r="125">
          <cell r="I125">
            <v>10240</v>
          </cell>
        </row>
      </sheetData>
    </sheetDataSet>
  </externalBook>
</externalLink>
</file>

<file path=xl/externalLinks/externalLink3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266729382.38999996</v>
          </cell>
        </row>
        <row r="125">
          <cell r="I125">
            <v>10624</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6575315639.0500011</v>
          </cell>
        </row>
        <row r="112">
          <cell r="D112">
            <v>208112</v>
          </cell>
        </row>
      </sheetData>
      <sheetData sheetId="1"/>
    </sheetDataSet>
  </externalBook>
</externalLink>
</file>

<file path=xl/externalLinks/externalLink3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268125917.06999999</v>
          </cell>
        </row>
        <row r="125">
          <cell r="I125">
            <v>10885</v>
          </cell>
        </row>
      </sheetData>
    </sheetDataSet>
  </externalBook>
</externalLink>
</file>

<file path=xl/externalLinks/externalLink3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QUADRO 1"/>
      <sheetName val="ABEL QUADRO 2"/>
    </sheetNames>
    <sheetDataSet>
      <sheetData sheetId="0"/>
      <sheetData sheetId="1">
        <row r="124">
          <cell r="I124">
            <v>263944879.95000002</v>
          </cell>
        </row>
        <row r="125">
          <cell r="I125">
            <v>11016</v>
          </cell>
        </row>
      </sheetData>
    </sheetDataSet>
  </externalBook>
</externalLink>
</file>

<file path=xl/externalLinks/externalLink3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8"/>
      <sheetName val="Belt0108"/>
    </sheetNames>
    <sheetDataSet>
      <sheetData sheetId="0">
        <row r="110">
          <cell r="E110">
            <v>47727129.019999996</v>
          </cell>
        </row>
        <row r="111">
          <cell r="E111">
            <v>4517</v>
          </cell>
        </row>
      </sheetData>
      <sheetData sheetId="1"/>
    </sheetDataSet>
  </externalBook>
</externalLink>
</file>

<file path=xl/externalLinks/externalLink3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08"/>
      <sheetName val="Belt0208"/>
    </sheetNames>
    <sheetDataSet>
      <sheetData sheetId="0">
        <row r="110">
          <cell r="E110">
            <v>48238592.849999994</v>
          </cell>
        </row>
        <row r="111">
          <cell r="E111">
            <v>4512</v>
          </cell>
        </row>
      </sheetData>
      <sheetData sheetId="1"/>
    </sheetDataSet>
  </externalBook>
</externalLink>
</file>

<file path=xl/externalLinks/externalLink3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08"/>
      <sheetName val="Belt0308"/>
    </sheetNames>
    <sheetDataSet>
      <sheetData sheetId="0">
        <row r="110">
          <cell r="E110">
            <v>48025082.449999996</v>
          </cell>
        </row>
        <row r="111">
          <cell r="E111">
            <v>4512</v>
          </cell>
        </row>
      </sheetData>
      <sheetData sheetId="1"/>
    </sheetDataSet>
  </externalBook>
</externalLink>
</file>

<file path=xl/externalLinks/externalLink3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08"/>
      <sheetName val="Belt0408"/>
    </sheetNames>
    <sheetDataSet>
      <sheetData sheetId="0">
        <row r="110">
          <cell r="E110">
            <v>48970833.079999991</v>
          </cell>
        </row>
        <row r="111">
          <cell r="E111">
            <v>4520</v>
          </cell>
        </row>
      </sheetData>
      <sheetData sheetId="1"/>
    </sheetDataSet>
  </externalBook>
</externalLink>
</file>

<file path=xl/externalLinks/externalLink3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08"/>
      <sheetName val="Belt0508"/>
    </sheetNames>
    <sheetDataSet>
      <sheetData sheetId="0">
        <row r="110">
          <cell r="E110">
            <v>53340420.740000002</v>
          </cell>
        </row>
        <row r="111">
          <cell r="E111">
            <v>4526</v>
          </cell>
        </row>
      </sheetData>
      <sheetData sheetId="1"/>
    </sheetDataSet>
  </externalBook>
</externalLink>
</file>

<file path=xl/externalLinks/externalLink3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08"/>
      <sheetName val="Belt0608"/>
    </sheetNames>
    <sheetDataSet>
      <sheetData sheetId="0">
        <row r="110">
          <cell r="E110">
            <v>58685806.349999994</v>
          </cell>
        </row>
        <row r="111">
          <cell r="E111">
            <v>4560</v>
          </cell>
        </row>
      </sheetData>
      <sheetData sheetId="1"/>
    </sheetDataSet>
  </externalBook>
</externalLink>
</file>

<file path=xl/externalLinks/externalLink3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8"/>
      <sheetName val="Belt0708"/>
    </sheetNames>
    <sheetDataSet>
      <sheetData sheetId="0">
        <row r="110">
          <cell r="E110">
            <v>86382253.150000006</v>
          </cell>
        </row>
        <row r="111">
          <cell r="E111">
            <v>6078</v>
          </cell>
        </row>
      </sheetData>
      <sheetData sheetId="1"/>
    </sheetDataSet>
  </externalBook>
</externalLink>
</file>

<file path=xl/externalLinks/externalLink3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808"/>
      <sheetName val="Belt0808"/>
    </sheetNames>
    <sheetDataSet>
      <sheetData sheetId="0">
        <row r="110">
          <cell r="E110">
            <v>136530403.59</v>
          </cell>
        </row>
        <row r="111">
          <cell r="E111">
            <v>9057</v>
          </cell>
        </row>
      </sheetData>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7047156242.5500002</v>
          </cell>
        </row>
        <row r="112">
          <cell r="D112">
            <v>233613</v>
          </cell>
        </row>
      </sheetData>
      <sheetData sheetId="1"/>
    </sheetDataSet>
  </externalBook>
</externalLink>
</file>

<file path=xl/externalLinks/externalLink3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908"/>
      <sheetName val="Belt0908"/>
    </sheetNames>
    <sheetDataSet>
      <sheetData sheetId="0">
        <row r="110">
          <cell r="E110">
            <v>212183121.72999996</v>
          </cell>
        </row>
        <row r="111">
          <cell r="E111">
            <v>12706</v>
          </cell>
        </row>
      </sheetData>
      <sheetData sheetId="1"/>
    </sheetDataSet>
  </externalBook>
</externalLink>
</file>

<file path=xl/externalLinks/externalLink3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8"/>
      <sheetName val="Belt1008"/>
    </sheetNames>
    <sheetDataSet>
      <sheetData sheetId="0">
        <row r="110">
          <cell r="E110">
            <v>217423435.13999999</v>
          </cell>
        </row>
        <row r="111">
          <cell r="E111">
            <v>12750</v>
          </cell>
        </row>
      </sheetData>
      <sheetData sheetId="1"/>
    </sheetDataSet>
  </externalBook>
</externalLink>
</file>

<file path=xl/externalLinks/externalLink3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08"/>
      <sheetName val="Belt1108"/>
    </sheetNames>
    <sheetDataSet>
      <sheetData sheetId="0">
        <row r="110">
          <cell r="E110">
            <v>231284776.67999998</v>
          </cell>
        </row>
        <row r="111">
          <cell r="E111">
            <v>12756</v>
          </cell>
        </row>
      </sheetData>
      <sheetData sheetId="1"/>
    </sheetDataSet>
  </externalBook>
</externalLink>
</file>

<file path=xl/externalLinks/externalLink3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8"/>
      <sheetName val="Belt1208"/>
    </sheetNames>
    <sheetDataSet>
      <sheetData sheetId="0">
        <row r="110">
          <cell r="E110">
            <v>231846314.66000006</v>
          </cell>
        </row>
        <row r="111">
          <cell r="E111">
            <v>12757</v>
          </cell>
        </row>
      </sheetData>
      <sheetData sheetId="1"/>
    </sheetDataSet>
  </externalBook>
</externalLink>
</file>

<file path=xl/externalLinks/externalLink3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88239762.139999986</v>
          </cell>
        </row>
        <row r="112">
          <cell r="D112">
            <v>405</v>
          </cell>
        </row>
      </sheetData>
      <sheetData sheetId="1"/>
    </sheetDataSet>
  </externalBook>
</externalLink>
</file>

<file path=xl/externalLinks/externalLink3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96018121.460000008</v>
          </cell>
        </row>
        <row r="112">
          <cell r="D112">
            <v>427</v>
          </cell>
        </row>
      </sheetData>
      <sheetData sheetId="1"/>
    </sheetDataSet>
  </externalBook>
</externalLink>
</file>

<file path=xl/externalLinks/externalLink3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102898464.94999999</v>
          </cell>
        </row>
        <row r="112">
          <cell r="D112">
            <v>460</v>
          </cell>
        </row>
      </sheetData>
      <sheetData sheetId="1"/>
    </sheetDataSet>
  </externalBook>
</externalLink>
</file>

<file path=xl/externalLinks/externalLink3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109769269.17</v>
          </cell>
        </row>
        <row r="112">
          <cell r="D112">
            <v>477</v>
          </cell>
        </row>
      </sheetData>
      <sheetData sheetId="1"/>
    </sheetDataSet>
  </externalBook>
</externalLink>
</file>

<file path=xl/externalLinks/externalLink3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118066069.89999998</v>
          </cell>
        </row>
        <row r="112">
          <cell r="D112">
            <v>497</v>
          </cell>
        </row>
      </sheetData>
      <sheetData sheetId="1"/>
    </sheetDataSet>
  </externalBook>
</externalLink>
</file>

<file path=xl/externalLinks/externalLink3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127209371.94999999</v>
          </cell>
        </row>
        <row r="112">
          <cell r="D112">
            <v>519</v>
          </cell>
        </row>
      </sheetData>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7420099389.4300003</v>
          </cell>
        </row>
        <row r="112">
          <cell r="D112">
            <v>243838</v>
          </cell>
        </row>
      </sheetData>
      <sheetData sheetId="1"/>
    </sheetDataSet>
  </externalBook>
</externalLink>
</file>

<file path=xl/externalLinks/externalLink3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130220937.57000001</v>
          </cell>
        </row>
        <row r="112">
          <cell r="D112">
            <v>544</v>
          </cell>
        </row>
      </sheetData>
      <sheetData sheetId="1"/>
    </sheetDataSet>
  </externalBook>
</externalLink>
</file>

<file path=xl/externalLinks/externalLink3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131909581.08</v>
          </cell>
        </row>
        <row r="112">
          <cell r="D112">
            <v>559</v>
          </cell>
        </row>
      </sheetData>
      <sheetData sheetId="1"/>
    </sheetDataSet>
  </externalBook>
</externalLink>
</file>

<file path=xl/externalLinks/externalLink3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148568993.88</v>
          </cell>
        </row>
        <row r="112">
          <cell r="D112">
            <v>606</v>
          </cell>
        </row>
      </sheetData>
      <sheetData sheetId="1"/>
    </sheetDataSet>
  </externalBook>
</externalLink>
</file>

<file path=xl/externalLinks/externalLink3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145563117.42000002</v>
          </cell>
        </row>
        <row r="112">
          <cell r="D112">
            <v>605</v>
          </cell>
        </row>
      </sheetData>
      <sheetData sheetId="1"/>
    </sheetDataSet>
  </externalBook>
</externalLink>
</file>

<file path=xl/externalLinks/externalLink3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147965173.09999999</v>
          </cell>
        </row>
        <row r="112">
          <cell r="D112">
            <v>606</v>
          </cell>
        </row>
      </sheetData>
      <sheetData sheetId="1"/>
    </sheetDataSet>
  </externalBook>
</externalLink>
</file>

<file path=xl/externalLinks/externalLink3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142575394.00999999</v>
          </cell>
        </row>
        <row r="112">
          <cell r="D112">
            <v>597</v>
          </cell>
        </row>
      </sheetData>
      <sheetData sheetId="1"/>
    </sheetDataSet>
  </externalBook>
</externalLink>
</file>

<file path=xl/externalLinks/externalLink3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7720311.9300000016</v>
          </cell>
        </row>
        <row r="112">
          <cell r="D112">
            <v>202</v>
          </cell>
        </row>
      </sheetData>
      <sheetData sheetId="1"/>
    </sheetDataSet>
  </externalBook>
</externalLink>
</file>

<file path=xl/externalLinks/externalLink3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16503467.250000002</v>
          </cell>
        </row>
        <row r="112">
          <cell r="D112">
            <v>459</v>
          </cell>
        </row>
      </sheetData>
      <sheetData sheetId="1"/>
    </sheetDataSet>
  </externalBook>
</externalLink>
</file>

<file path=xl/externalLinks/externalLink3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29242627.719999995</v>
          </cell>
        </row>
        <row r="112">
          <cell r="D112">
            <v>844</v>
          </cell>
        </row>
      </sheetData>
      <sheetData sheetId="1"/>
    </sheetDataSet>
  </externalBook>
</externalLink>
</file>

<file path=xl/externalLinks/externalLink3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45322537.449999988</v>
          </cell>
        </row>
        <row r="112">
          <cell r="D112">
            <v>1294</v>
          </cell>
        </row>
      </sheetData>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2">
          <cell r="D112">
            <v>255348</v>
          </cell>
        </row>
        <row r="115">
          <cell r="D115">
            <v>7749402859.8299971</v>
          </cell>
        </row>
      </sheetData>
      <sheetData sheetId="1"/>
    </sheetDataSet>
  </externalBook>
</externalLink>
</file>

<file path=xl/externalLinks/externalLink3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63552764.720000021</v>
          </cell>
        </row>
        <row r="112">
          <cell r="D112">
            <v>1767</v>
          </cell>
        </row>
      </sheetData>
      <sheetData sheetId="1"/>
    </sheetDataSet>
  </externalBook>
</externalLink>
</file>

<file path=xl/externalLinks/externalLink3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76177544.629999965</v>
          </cell>
        </row>
        <row r="112">
          <cell r="D112">
            <v>2188</v>
          </cell>
        </row>
      </sheetData>
      <sheetData sheetId="1"/>
    </sheetDataSet>
  </externalBook>
</externalLink>
</file>

<file path=xl/externalLinks/externalLink3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93212246.490000024</v>
          </cell>
        </row>
        <row r="112">
          <cell r="D112">
            <v>2724</v>
          </cell>
        </row>
      </sheetData>
      <sheetData sheetId="1"/>
    </sheetDataSet>
  </externalBook>
</externalLink>
</file>

<file path=xl/externalLinks/externalLink3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105301266.62</v>
          </cell>
        </row>
        <row r="112">
          <cell r="D112">
            <v>3133</v>
          </cell>
        </row>
      </sheetData>
      <sheetData sheetId="1"/>
    </sheetDataSet>
  </externalBook>
</externalLink>
</file>

<file path=xl/externalLinks/externalLink3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121898226.29999998</v>
          </cell>
        </row>
        <row r="112">
          <cell r="D112">
            <v>3735</v>
          </cell>
        </row>
      </sheetData>
      <sheetData sheetId="1"/>
    </sheetDataSet>
  </externalBook>
</externalLink>
</file>

<file path=xl/externalLinks/externalLink3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133747973.88000003</v>
          </cell>
        </row>
        <row r="112">
          <cell r="D112">
            <v>4174</v>
          </cell>
        </row>
      </sheetData>
      <sheetData sheetId="1"/>
    </sheetDataSet>
  </externalBook>
</externalLink>
</file>

<file path=xl/externalLinks/externalLink3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131060548.94</v>
          </cell>
        </row>
        <row r="112">
          <cell r="D112">
            <v>4232</v>
          </cell>
        </row>
      </sheetData>
      <sheetData sheetId="1"/>
    </sheetDataSet>
  </externalBook>
</externalLink>
</file>

<file path=xl/externalLinks/externalLink3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s>
    <sheetDataSet>
      <sheetData sheetId="0">
        <row r="111">
          <cell r="D111">
            <v>127769821.30000003</v>
          </cell>
        </row>
      </sheetData>
      <sheetData sheetId="1" refreshError="1"/>
    </sheetDataSet>
  </externalBook>
</externalLink>
</file>

<file path=xl/externalLinks/externalLink3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18768822.57</v>
          </cell>
        </row>
        <row r="112">
          <cell r="D112">
            <v>66</v>
          </cell>
        </row>
      </sheetData>
    </sheetDataSet>
  </externalBook>
</externalLink>
</file>

<file path=xl/externalLinks/externalLink3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25502469.739999998</v>
          </cell>
        </row>
        <row r="112">
          <cell r="D112">
            <v>75</v>
          </cell>
        </row>
      </sheetData>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8122927463.1700001</v>
          </cell>
        </row>
        <row r="112">
          <cell r="D112">
            <v>267326</v>
          </cell>
        </row>
      </sheetData>
      <sheetData sheetId="1"/>
    </sheetDataSet>
  </externalBook>
</externalLink>
</file>

<file path=xl/externalLinks/externalLink3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32265884.219999991</v>
          </cell>
        </row>
        <row r="112">
          <cell r="D112">
            <v>83</v>
          </cell>
        </row>
      </sheetData>
    </sheetDataSet>
  </externalBook>
</externalLink>
</file>

<file path=xl/externalLinks/externalLink3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40771704.899999999</v>
          </cell>
        </row>
        <row r="112">
          <cell r="D112">
            <v>91</v>
          </cell>
        </row>
      </sheetData>
    </sheetDataSet>
  </externalBook>
</externalLink>
</file>

<file path=xl/externalLinks/externalLink3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46627382.419999994</v>
          </cell>
        </row>
        <row r="112">
          <cell r="D112">
            <v>99</v>
          </cell>
        </row>
      </sheetData>
    </sheetDataSet>
  </externalBook>
</externalLink>
</file>

<file path=xl/externalLinks/externalLink3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55072068.280000001</v>
          </cell>
        </row>
        <row r="112">
          <cell r="D112">
            <v>116</v>
          </cell>
        </row>
      </sheetData>
    </sheetDataSet>
  </externalBook>
</externalLink>
</file>

<file path=xl/externalLinks/externalLink3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75394731.950000003</v>
          </cell>
        </row>
        <row r="112">
          <cell r="D112">
            <v>155</v>
          </cell>
        </row>
      </sheetData>
    </sheetDataSet>
  </externalBook>
</externalLink>
</file>

<file path=xl/externalLinks/externalLink3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88607525.969999999</v>
          </cell>
        </row>
        <row r="112">
          <cell r="D112">
            <v>191</v>
          </cell>
        </row>
      </sheetData>
    </sheetDataSet>
  </externalBook>
</externalLink>
</file>

<file path=xl/externalLinks/externalLink3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101946849.55</v>
          </cell>
        </row>
        <row r="112">
          <cell r="D112">
            <v>219</v>
          </cell>
        </row>
      </sheetData>
    </sheetDataSet>
  </externalBook>
</externalLink>
</file>

<file path=xl/externalLinks/externalLink3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112760212.29000002</v>
          </cell>
        </row>
        <row r="112">
          <cell r="D112">
            <v>216</v>
          </cell>
        </row>
      </sheetData>
    </sheetDataSet>
  </externalBook>
</externalLink>
</file>

<file path=xl/externalLinks/externalLink3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1"/>
      <sheetName val="QUADRO2"/>
    </sheetNames>
    <sheetDataSet>
      <sheetData sheetId="0"/>
      <sheetData sheetId="1">
        <row r="111">
          <cell r="D111">
            <v>115818638.51000001</v>
          </cell>
        </row>
        <row r="112">
          <cell r="D112">
            <v>217</v>
          </cell>
        </row>
      </sheetData>
    </sheetDataSet>
  </externalBook>
</externalLink>
</file>

<file path=xl/externalLinks/externalLink3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dro"/>
      <sheetName val="2 quadro"/>
      <sheetName val="Sheet3"/>
    </sheetNames>
    <sheetDataSet>
      <sheetData sheetId="0"/>
      <sheetData sheetId="1">
        <row r="95">
          <cell r="G95">
            <v>62041516.699999988</v>
          </cell>
        </row>
        <row r="96">
          <cell r="G96">
            <v>169</v>
          </cell>
        </row>
      </sheetData>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8824726622.4200001</v>
          </cell>
        </row>
        <row r="112">
          <cell r="D112">
            <v>290785</v>
          </cell>
        </row>
      </sheetData>
      <sheetData sheetId="1"/>
    </sheetDataSet>
  </externalBook>
</externalLink>
</file>

<file path=xl/externalLinks/externalLink3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uadro"/>
      <sheetName val="2quadro"/>
    </sheetNames>
    <sheetDataSet>
      <sheetData sheetId="0"/>
      <sheetData sheetId="1">
        <row r="95">
          <cell r="G95">
            <v>61510004</v>
          </cell>
        </row>
        <row r="96">
          <cell r="G96">
            <v>169</v>
          </cell>
        </row>
      </sheetData>
    </sheetDataSet>
  </externalBook>
</externalLink>
</file>

<file path=xl/externalLinks/externalLink3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uadro"/>
      <sheetName val="2quadro"/>
    </sheetNames>
    <sheetDataSet>
      <sheetData sheetId="0"/>
      <sheetData sheetId="1">
        <row r="95">
          <cell r="G95">
            <v>66851048.600000009</v>
          </cell>
        </row>
        <row r="96">
          <cell r="G96">
            <v>178</v>
          </cell>
        </row>
      </sheetData>
    </sheetDataSet>
  </externalBook>
</externalLink>
</file>

<file path=xl/externalLinks/externalLink3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quadro"/>
      <sheetName val="2quadro"/>
    </sheetNames>
    <sheetDataSet>
      <sheetData sheetId="0"/>
      <sheetData sheetId="1">
        <row r="95">
          <cell r="G95">
            <v>87543845.199999988</v>
          </cell>
        </row>
        <row r="96">
          <cell r="G96">
            <v>194</v>
          </cell>
        </row>
      </sheetData>
    </sheetDataSet>
  </externalBook>
</externalLink>
</file>

<file path=xl/externalLinks/externalLink3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2_0907"/>
      <sheetName val="Abel 0907"/>
    </sheetNames>
    <sheetDataSet>
      <sheetData sheetId="0"/>
      <sheetData sheetId="1">
        <row r="111">
          <cell r="D111">
            <v>115862827.38999997</v>
          </cell>
        </row>
        <row r="112">
          <cell r="D112">
            <v>422</v>
          </cell>
        </row>
      </sheetData>
    </sheetDataSet>
  </externalBook>
</externalLink>
</file>

<file path=xl/externalLinks/externalLink3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0408"/>
      <sheetName val="Tab 2_0408"/>
    </sheetNames>
    <sheetDataSet>
      <sheetData sheetId="0">
        <row r="111">
          <cell r="D111">
            <v>172833615.96000001</v>
          </cell>
        </row>
        <row r="112">
          <cell r="D112">
            <v>582</v>
          </cell>
        </row>
      </sheetData>
      <sheetData sheetId="1"/>
    </sheetDataSet>
  </externalBook>
</externalLink>
</file>

<file path=xl/externalLinks/externalLink3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31440410.919999994</v>
          </cell>
        </row>
        <row r="31">
          <cell r="F31">
            <v>245</v>
          </cell>
        </row>
      </sheetData>
      <sheetData sheetId="1"/>
      <sheetData sheetId="2"/>
      <sheetData sheetId="3"/>
    </sheetDataSet>
  </externalBook>
</externalLink>
</file>

<file path=xl/externalLinks/externalLink3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31141961.720000003</v>
          </cell>
        </row>
        <row r="31">
          <cell r="F31">
            <v>250</v>
          </cell>
        </row>
      </sheetData>
      <sheetData sheetId="1"/>
      <sheetData sheetId="2"/>
      <sheetData sheetId="3"/>
    </sheetDataSet>
  </externalBook>
</externalLink>
</file>

<file path=xl/externalLinks/externalLink3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32445285.530000001</v>
          </cell>
        </row>
        <row r="31">
          <cell r="F31">
            <v>281</v>
          </cell>
        </row>
      </sheetData>
      <sheetData sheetId="1"/>
      <sheetData sheetId="2"/>
      <sheetData sheetId="3"/>
    </sheetDataSet>
  </externalBook>
</externalLink>
</file>

<file path=xl/externalLinks/externalLink3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32120331.009999998</v>
          </cell>
        </row>
        <row r="31">
          <cell r="F31">
            <v>287</v>
          </cell>
        </row>
      </sheetData>
      <sheetData sheetId="1"/>
      <sheetData sheetId="2"/>
      <sheetData sheetId="3"/>
    </sheetDataSet>
  </externalBook>
</externalLink>
</file>

<file path=xl/externalLinks/externalLink3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32239899.650000006</v>
          </cell>
        </row>
        <row r="31">
          <cell r="F31">
            <v>302</v>
          </cell>
        </row>
      </sheetData>
      <sheetData sheetId="1"/>
      <sheetData sheetId="2"/>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9059171149.9000015</v>
          </cell>
        </row>
        <row r="112">
          <cell r="D112">
            <v>300776</v>
          </cell>
        </row>
      </sheetData>
      <sheetData sheetId="1"/>
    </sheetDataSet>
  </externalBook>
</externalLink>
</file>

<file path=xl/externalLinks/externalLink3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35986276.000000007</v>
          </cell>
        </row>
        <row r="31">
          <cell r="F31">
            <v>309</v>
          </cell>
        </row>
      </sheetData>
      <sheetData sheetId="1"/>
      <sheetData sheetId="2"/>
      <sheetData sheetId="3"/>
    </sheetDataSet>
  </externalBook>
</externalLink>
</file>

<file path=xl/externalLinks/externalLink3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35019852.009999998</v>
          </cell>
        </row>
        <row r="31">
          <cell r="F31">
            <v>312</v>
          </cell>
        </row>
      </sheetData>
      <sheetData sheetId="1"/>
      <sheetData sheetId="2"/>
      <sheetData sheetId="3"/>
    </sheetDataSet>
  </externalBook>
</externalLink>
</file>

<file path=xl/externalLinks/externalLink3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33720222.490000002</v>
          </cell>
        </row>
        <row r="31">
          <cell r="F31">
            <v>310</v>
          </cell>
        </row>
      </sheetData>
      <sheetData sheetId="1"/>
      <sheetData sheetId="2"/>
      <sheetData sheetId="3"/>
    </sheetDataSet>
  </externalBook>
</externalLink>
</file>

<file path=xl/externalLinks/externalLink3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32778296.490000002</v>
          </cell>
        </row>
        <row r="31">
          <cell r="F31">
            <v>303</v>
          </cell>
        </row>
      </sheetData>
      <sheetData sheetId="1"/>
      <sheetData sheetId="2"/>
      <sheetData sheetId="3"/>
    </sheetDataSet>
  </externalBook>
</externalLink>
</file>

<file path=xl/externalLinks/externalLink3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30963044.030000005</v>
          </cell>
        </row>
        <row r="31">
          <cell r="F31">
            <v>299</v>
          </cell>
        </row>
      </sheetData>
      <sheetData sheetId="1"/>
      <sheetData sheetId="2"/>
      <sheetData sheetId="3"/>
    </sheetDataSet>
  </externalBook>
</externalLink>
</file>

<file path=xl/externalLinks/externalLink3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 val="abel3"/>
      <sheetName val="abel4"/>
    </sheetNames>
    <sheetDataSet>
      <sheetData sheetId="0">
        <row r="30">
          <cell r="F30">
            <v>29168771.509999998</v>
          </cell>
        </row>
        <row r="31">
          <cell r="F31">
            <v>295</v>
          </cell>
        </row>
      </sheetData>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9044404168.1600018</v>
          </cell>
        </row>
        <row r="112">
          <cell r="D112">
            <v>303414</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18185704938.77</v>
          </cell>
        </row>
        <row r="112">
          <cell r="E112">
            <v>985816</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1"/>
      <sheetName val="Abel-2"/>
    </sheetNames>
    <sheetDataSet>
      <sheetData sheetId="0">
        <row r="111">
          <cell r="D111">
            <v>9019795709.8099995</v>
          </cell>
        </row>
        <row r="112">
          <cell r="D112">
            <v>308248</v>
          </cell>
        </row>
      </sheetData>
      <sheetData sheetId="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12148353124.450001</v>
          </cell>
        </row>
        <row r="102">
          <cell r="E102">
            <v>580121</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AUCARD"/>
    </sheetNames>
    <sheetDataSet>
      <sheetData sheetId="0">
        <row r="100">
          <cell r="E100">
            <v>11887223712.239998</v>
          </cell>
        </row>
        <row r="102">
          <cell r="E102">
            <v>601977</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11588969026.060001</v>
          </cell>
        </row>
        <row r="102">
          <cell r="E102">
            <v>592566</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11259765694.560001</v>
          </cell>
        </row>
        <row r="102">
          <cell r="E102">
            <v>585641</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10942396014.170002</v>
          </cell>
        </row>
        <row r="102">
          <cell r="E102">
            <v>579062</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10599845541.939999</v>
          </cell>
        </row>
        <row r="102">
          <cell r="E102">
            <v>571086</v>
          </cell>
        </row>
      </sheetData>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10257765723.32</v>
          </cell>
        </row>
        <row r="102">
          <cell r="E102">
            <v>559489</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9944217846.1900005</v>
          </cell>
        </row>
        <row r="102">
          <cell r="E102">
            <v>548388</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9596267620.3000011</v>
          </cell>
        </row>
        <row r="102">
          <cell r="E102">
            <v>536792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19492425850.749996</v>
          </cell>
        </row>
        <row r="112">
          <cell r="E112">
            <v>1033122</v>
          </cell>
        </row>
      </sheetData>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9310957329.5499992</v>
          </cell>
        </row>
        <row r="102">
          <cell r="E102">
            <v>527379</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9076111487.2400017</v>
          </cell>
        </row>
        <row r="102">
          <cell r="E102">
            <v>519727</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00">
          <cell r="E100">
            <v>8801011239.4500008</v>
          </cell>
        </row>
        <row r="102">
          <cell r="E102">
            <v>512395</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4667888405</v>
          </cell>
        </row>
        <row r="42">
          <cell r="F42">
            <v>205126</v>
          </cell>
        </row>
      </sheetData>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5304193931</v>
          </cell>
        </row>
        <row r="42">
          <cell r="F42">
            <v>232251</v>
          </cell>
        </row>
      </sheetData>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6122253975</v>
          </cell>
        </row>
        <row r="42">
          <cell r="F42">
            <v>265118</v>
          </cell>
        </row>
      </sheetData>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6960108857</v>
          </cell>
        </row>
        <row r="42">
          <cell r="F42">
            <v>287866</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8100976984</v>
          </cell>
        </row>
        <row r="42">
          <cell r="F42">
            <v>332874</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8395988508</v>
          </cell>
        </row>
        <row r="42">
          <cell r="F42">
            <v>359214</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9251052049</v>
          </cell>
        </row>
        <row r="42">
          <cell r="F42">
            <v>392804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20980585918.739998</v>
          </cell>
        </row>
        <row r="112">
          <cell r="E112">
            <v>1088808</v>
          </cell>
        </row>
      </sheetData>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10095787827</v>
          </cell>
        </row>
        <row r="42">
          <cell r="F42">
            <v>428578</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11047883282</v>
          </cell>
        </row>
        <row r="42">
          <cell r="F42">
            <v>468660</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11425059525</v>
          </cell>
        </row>
        <row r="42">
          <cell r="F42">
            <v>487548</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11583633205</v>
          </cell>
        </row>
        <row r="42">
          <cell r="F42">
            <v>501639</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REND ANALITICO"/>
      <sheetName val="DADOS ESTATÍSTICOS "/>
      <sheetName val="PRODUÇÃO"/>
    </sheetNames>
    <sheetDataSet>
      <sheetData sheetId="0"/>
      <sheetData sheetId="1"/>
      <sheetData sheetId="2">
        <row r="41">
          <cell r="F41">
            <v>8160409670</v>
          </cell>
        </row>
        <row r="42">
          <cell r="F42">
            <v>335638</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refreshError="1"/>
      <sheetData sheetId="1">
        <row r="95">
          <cell r="D95">
            <v>4309637895.7200003</v>
          </cell>
        </row>
        <row r="96">
          <cell r="D96">
            <v>48662</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s>
    <sheetDataSet>
      <sheetData sheetId="0">
        <row r="95">
          <cell r="D95">
            <v>4593105207.3899994</v>
          </cell>
        </row>
        <row r="96">
          <cell r="D96">
            <v>53049</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refreshError="1"/>
      <sheetData sheetId="1">
        <row r="95">
          <cell r="D95">
            <v>5044061233.8999987</v>
          </cell>
        </row>
        <row r="96">
          <cell r="D96">
            <v>59386</v>
          </cell>
        </row>
      </sheetData>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refreshError="1"/>
      <sheetData sheetId="1">
        <row r="95">
          <cell r="D95">
            <v>5541008780.3599997</v>
          </cell>
        </row>
        <row r="96">
          <cell r="D96">
            <v>66806</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refreshError="1"/>
      <sheetData sheetId="1">
        <row r="95">
          <cell r="D95">
            <v>6024894683.2399998</v>
          </cell>
        </row>
        <row r="96">
          <cell r="D96">
            <v>74599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15488204556.540001</v>
          </cell>
        </row>
        <row r="112">
          <cell r="E112">
            <v>684643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sheetData sheetId="1">
        <row r="95">
          <cell r="D95">
            <v>6607555138.1300011</v>
          </cell>
        </row>
        <row r="96">
          <cell r="D96">
            <v>83293</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sheetData sheetId="1">
        <row r="95">
          <cell r="D95">
            <v>7178990210.8799992</v>
          </cell>
        </row>
        <row r="96">
          <cell r="D96">
            <v>92929</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sheetData sheetId="1">
        <row r="95">
          <cell r="D95">
            <v>7708455420.7799988</v>
          </cell>
        </row>
        <row r="96">
          <cell r="D96">
            <v>101457</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sheetData sheetId="1">
        <row r="95">
          <cell r="D95">
            <v>8208160683.0700006</v>
          </cell>
        </row>
        <row r="96">
          <cell r="D96">
            <v>110387</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sheetData sheetId="1">
        <row r="95">
          <cell r="D95">
            <v>8311918409.1400023</v>
          </cell>
        </row>
        <row r="96">
          <cell r="D96">
            <v>114424</v>
          </cell>
        </row>
      </sheetData>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sheetData sheetId="1">
        <row r="95">
          <cell r="D95">
            <v>8454849624.7800016</v>
          </cell>
        </row>
        <row r="96">
          <cell r="D96">
            <v>117960</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 val="Plan1"/>
    </sheetNames>
    <sheetDataSet>
      <sheetData sheetId="0"/>
      <sheetData sheetId="1">
        <row r="95">
          <cell r="D95">
            <v>6224366665.6399994</v>
          </cell>
        </row>
        <row r="96">
          <cell r="D96">
            <v>117960</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4639631042.7600002</v>
          </cell>
        </row>
        <row r="8">
          <cell r="D8">
            <v>60521</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4606334636.9399996</v>
          </cell>
        </row>
        <row r="8">
          <cell r="D8">
            <v>59797</v>
          </cell>
        </row>
      </sheetData>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4600096964.5600004</v>
          </cell>
        </row>
        <row r="8">
          <cell r="D8">
            <v>58880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16179812873.93</v>
          </cell>
        </row>
        <row r="112">
          <cell r="E112">
            <v>711255</v>
          </cell>
        </row>
      </sheetData>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4592940188.9499998</v>
          </cell>
        </row>
        <row r="8">
          <cell r="D8">
            <v>57893</v>
          </cell>
        </row>
      </sheetData>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7">
          <cell r="D7">
            <v>4614939530.0100002</v>
          </cell>
        </row>
        <row r="8">
          <cell r="D8">
            <v>56130</v>
          </cell>
        </row>
      </sheetData>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4642963451.4699993</v>
          </cell>
        </row>
        <row r="18">
          <cell r="D18">
            <v>56117</v>
          </cell>
        </row>
      </sheetData>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4838421842.9599991</v>
          </cell>
        </row>
      </sheetData>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4980730963.9900007</v>
          </cell>
        </row>
      </sheetData>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4898522947.6700001</v>
          </cell>
        </row>
      </sheetData>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4793493576.8400002</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l"/>
    </sheetNames>
    <sheetDataSet>
      <sheetData sheetId="0">
        <row r="17">
          <cell r="D17">
            <v>4594511283.8000002</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2387885097.21</v>
          </cell>
        </row>
        <row r="126">
          <cell r="E126">
            <v>94232</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2509788768.2400002</v>
          </cell>
        </row>
        <row r="126">
          <cell r="E126">
            <v>99920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ORIO"/>
    </sheetNames>
    <sheetDataSet>
      <sheetData sheetId="0">
        <row r="110">
          <cell r="E110">
            <v>16016103299.459995</v>
          </cell>
        </row>
        <row r="112">
          <cell r="E112">
            <v>654879</v>
          </cell>
        </row>
      </sheetData>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2488169521.789999</v>
          </cell>
        </row>
        <row r="126">
          <cell r="E126">
            <v>106517</v>
          </cell>
        </row>
      </sheetData>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3003385769.4299998</v>
          </cell>
        </row>
        <row r="126">
          <cell r="E126">
            <v>120358</v>
          </cell>
        </row>
      </sheetData>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3510398540.3100004</v>
          </cell>
        </row>
        <row r="126">
          <cell r="E126">
            <v>148308</v>
          </cell>
        </row>
      </sheetData>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3368934168.0600009</v>
          </cell>
        </row>
        <row r="126">
          <cell r="E126">
            <v>163022</v>
          </cell>
        </row>
      </sheetData>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3546135164.5700006</v>
          </cell>
        </row>
        <row r="126">
          <cell r="E126">
            <v>175921</v>
          </cell>
        </row>
      </sheetData>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3606696870.4800014</v>
          </cell>
        </row>
        <row r="126">
          <cell r="E126">
            <v>143050</v>
          </cell>
        </row>
      </sheetData>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3742595004.9100008</v>
          </cell>
        </row>
        <row r="126">
          <cell r="E126">
            <v>147772</v>
          </cell>
        </row>
      </sheetData>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3809826902.5599999</v>
          </cell>
        </row>
        <row r="126">
          <cell r="E126">
            <v>147848</v>
          </cell>
        </row>
      </sheetData>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3801436603.8000007</v>
          </cell>
        </row>
        <row r="126">
          <cell r="E126">
            <v>150497</v>
          </cell>
        </row>
      </sheetData>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BBR"/>
      <sheetName val="ASSET"/>
      <sheetName val="CCF"/>
      <sheetName val="ABEL-CONSOLIDADO"/>
    </sheetNames>
    <sheetDataSet>
      <sheetData sheetId="0"/>
      <sheetData sheetId="1"/>
      <sheetData sheetId="2"/>
      <sheetData sheetId="3">
        <row r="124">
          <cell r="E124">
            <v>3802381037.8899999</v>
          </cell>
        </row>
        <row r="126">
          <cell r="E126">
            <v>152606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AY104"/>
  <sheetViews>
    <sheetView tabSelected="1" zoomScale="75" zoomScaleNormal="75" zoomScaleSheetLayoutView="80" workbookViewId="0" xr3:uid="{AEA406A1-0E4B-5B11-9CD5-51D6E497D94C}">
      <pane xSplit="2" topLeftCell="H1" activePane="topRight" state="frozen"/>
      <selection pane="topRight" activeCell="B40" sqref="B40"/>
    </sheetView>
  </sheetViews>
  <sheetFormatPr defaultRowHeight="12.75"/>
  <cols>
    <col min="1" max="1" width="18.28515625" style="1" customWidth="1"/>
    <col min="2" max="2" width="80.5703125" style="1" customWidth="1"/>
    <col min="3" max="29" width="24.5703125" customWidth="1"/>
    <col min="30" max="30" width="21.5703125" customWidth="1"/>
    <col min="31" max="31" width="24.140625" customWidth="1"/>
    <col min="32" max="34" width="21.5703125" customWidth="1"/>
    <col min="35" max="35" width="24" customWidth="1"/>
    <col min="36" max="36" width="24.28515625" customWidth="1"/>
    <col min="37" max="38" width="21.5703125" customWidth="1"/>
    <col min="39" max="39" width="23.7109375" customWidth="1"/>
    <col min="40" max="42" width="21.5703125" customWidth="1"/>
    <col min="43" max="43" width="24.140625" customWidth="1"/>
    <col min="44" max="44" width="22.42578125" customWidth="1"/>
    <col min="45" max="45" width="20.85546875" customWidth="1"/>
    <col min="46" max="46" width="21" customWidth="1"/>
    <col min="47" max="47" width="24" customWidth="1"/>
    <col min="48" max="48" width="23.85546875" customWidth="1"/>
    <col min="49" max="50" width="21" customWidth="1"/>
  </cols>
  <sheetData>
    <row r="1" spans="1:51" s="22" customFormat="1" ht="27.75" customHeight="1">
      <c r="A1" s="63" t="s">
        <v>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row>
    <row r="2" spans="1:51" s="22" customFormat="1" ht="47.25"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row>
    <row r="3" spans="1:51" ht="30" customHeight="1">
      <c r="A3" s="60" t="s">
        <v>1</v>
      </c>
      <c r="B3" s="58" t="s">
        <v>2</v>
      </c>
      <c r="C3" s="61" t="s">
        <v>3</v>
      </c>
      <c r="D3" s="61"/>
      <c r="E3" s="61"/>
      <c r="F3" s="61"/>
      <c r="G3" s="61" t="s">
        <v>4</v>
      </c>
      <c r="H3" s="61"/>
      <c r="I3" s="61"/>
      <c r="J3" s="61"/>
      <c r="K3" s="61" t="s">
        <v>5</v>
      </c>
      <c r="L3" s="61"/>
      <c r="M3" s="61"/>
      <c r="N3" s="61"/>
      <c r="O3" s="61" t="s">
        <v>6</v>
      </c>
      <c r="P3" s="61"/>
      <c r="Q3" s="61"/>
      <c r="R3" s="61"/>
      <c r="S3" s="61" t="s">
        <v>7</v>
      </c>
      <c r="T3" s="61"/>
      <c r="U3" s="61"/>
      <c r="V3" s="61"/>
      <c r="W3" s="61" t="s">
        <v>8</v>
      </c>
      <c r="X3" s="61"/>
      <c r="Y3" s="61"/>
      <c r="Z3" s="61"/>
      <c r="AA3" s="61" t="s">
        <v>9</v>
      </c>
      <c r="AB3" s="61"/>
      <c r="AC3" s="61"/>
      <c r="AD3" s="61"/>
      <c r="AE3" s="61" t="s">
        <v>10</v>
      </c>
      <c r="AF3" s="61"/>
      <c r="AG3" s="61"/>
      <c r="AH3" s="61"/>
      <c r="AI3" s="61" t="s">
        <v>11</v>
      </c>
      <c r="AJ3" s="61"/>
      <c r="AK3" s="61"/>
      <c r="AL3" s="61"/>
      <c r="AM3" s="61" t="s">
        <v>12</v>
      </c>
      <c r="AN3" s="61"/>
      <c r="AO3" s="61"/>
      <c r="AP3" s="61"/>
      <c r="AQ3" s="61" t="s">
        <v>13</v>
      </c>
      <c r="AR3" s="61"/>
      <c r="AS3" s="61"/>
      <c r="AT3" s="61"/>
      <c r="AU3" s="61" t="s">
        <v>14</v>
      </c>
      <c r="AV3" s="61"/>
      <c r="AW3" s="61"/>
      <c r="AX3" s="62"/>
      <c r="AY3" s="20"/>
    </row>
    <row r="4" spans="1:51" ht="30" customHeight="1">
      <c r="A4" s="59"/>
      <c r="B4" s="59"/>
      <c r="C4" s="4" t="s">
        <v>15</v>
      </c>
      <c r="D4" s="5" t="s">
        <v>16</v>
      </c>
      <c r="E4" s="6" t="s">
        <v>17</v>
      </c>
      <c r="F4" s="57" t="s">
        <v>18</v>
      </c>
      <c r="G4" s="4" t="s">
        <v>15</v>
      </c>
      <c r="H4" s="5" t="s">
        <v>16</v>
      </c>
      <c r="I4" s="6" t="s">
        <v>17</v>
      </c>
      <c r="J4" s="57" t="s">
        <v>18</v>
      </c>
      <c r="K4" s="4" t="s">
        <v>15</v>
      </c>
      <c r="L4" s="5" t="s">
        <v>16</v>
      </c>
      <c r="M4" s="6" t="s">
        <v>17</v>
      </c>
      <c r="N4" s="57" t="s">
        <v>18</v>
      </c>
      <c r="O4" s="4" t="s">
        <v>15</v>
      </c>
      <c r="P4" s="5" t="s">
        <v>16</v>
      </c>
      <c r="Q4" s="6" t="s">
        <v>17</v>
      </c>
      <c r="R4" s="57" t="s">
        <v>18</v>
      </c>
      <c r="S4" s="4" t="s">
        <v>15</v>
      </c>
      <c r="T4" s="5" t="s">
        <v>16</v>
      </c>
      <c r="U4" s="6" t="s">
        <v>17</v>
      </c>
      <c r="V4" s="57" t="s">
        <v>18</v>
      </c>
      <c r="W4" s="4" t="s">
        <v>15</v>
      </c>
      <c r="X4" s="5" t="s">
        <v>16</v>
      </c>
      <c r="Y4" s="6" t="s">
        <v>17</v>
      </c>
      <c r="Z4" s="57" t="s">
        <v>18</v>
      </c>
      <c r="AA4" s="4" t="s">
        <v>15</v>
      </c>
      <c r="AB4" s="5" t="s">
        <v>16</v>
      </c>
      <c r="AC4" s="6" t="s">
        <v>17</v>
      </c>
      <c r="AD4" s="57" t="s">
        <v>18</v>
      </c>
      <c r="AE4" s="4" t="s">
        <v>15</v>
      </c>
      <c r="AF4" s="5" t="s">
        <v>16</v>
      </c>
      <c r="AG4" s="6" t="s">
        <v>17</v>
      </c>
      <c r="AH4" s="57" t="s">
        <v>18</v>
      </c>
      <c r="AI4" s="4" t="s">
        <v>15</v>
      </c>
      <c r="AJ4" s="5" t="s">
        <v>16</v>
      </c>
      <c r="AK4" s="6" t="s">
        <v>17</v>
      </c>
      <c r="AL4" s="57" t="s">
        <v>18</v>
      </c>
      <c r="AM4" s="4" t="s">
        <v>15</v>
      </c>
      <c r="AN4" s="5" t="s">
        <v>16</v>
      </c>
      <c r="AO4" s="6" t="s">
        <v>17</v>
      </c>
      <c r="AP4" s="57" t="s">
        <v>18</v>
      </c>
      <c r="AQ4" s="4" t="s">
        <v>15</v>
      </c>
      <c r="AR4" s="5" t="s">
        <v>16</v>
      </c>
      <c r="AS4" s="6" t="s">
        <v>17</v>
      </c>
      <c r="AT4" s="57" t="s">
        <v>18</v>
      </c>
      <c r="AU4" s="4" t="s">
        <v>15</v>
      </c>
      <c r="AV4" s="5" t="s">
        <v>16</v>
      </c>
      <c r="AW4" s="6" t="s">
        <v>17</v>
      </c>
      <c r="AX4" s="16" t="s">
        <v>18</v>
      </c>
      <c r="AY4" s="20"/>
    </row>
    <row r="5" spans="1:51" s="22" customFormat="1" ht="30" customHeight="1">
      <c r="A5" s="23">
        <v>1</v>
      </c>
      <c r="B5" s="24" t="s">
        <v>19</v>
      </c>
      <c r="C5" s="25">
        <f>[1]RELATORIO!$E$110</f>
        <v>14320334027.92</v>
      </c>
      <c r="D5" s="25">
        <f>C5/$B$90</f>
        <v>8082364842.4878654</v>
      </c>
      <c r="E5" s="25">
        <f>[1]RELATORIO!$E$112</f>
        <v>810524</v>
      </c>
      <c r="F5" s="26">
        <f>C5/$C$46*100</f>
        <v>21.347415552032832</v>
      </c>
      <c r="G5" s="25">
        <f>[2]ITAULEASING!$E$110</f>
        <v>15492470958.279999</v>
      </c>
      <c r="H5" s="25">
        <f>G5/$B$91</f>
        <v>8879733454.62257</v>
      </c>
      <c r="I5" s="25">
        <f>[2]ITAULEASING!$E$112</f>
        <v>898225</v>
      </c>
      <c r="J5" s="26">
        <f>G5/$G$46*100</f>
        <v>21.766389426725524</v>
      </c>
      <c r="K5" s="25">
        <f>[3]RELATORIO!$E$110</f>
        <v>16858036721.09</v>
      </c>
      <c r="L5" s="25">
        <f>K5/$B$92</f>
        <v>9622167078.2477169</v>
      </c>
      <c r="M5" s="25">
        <f>[3]RELATORIO!$E$112</f>
        <v>939588</v>
      </c>
      <c r="N5" s="26">
        <f>K5/$K$46*100</f>
        <v>22.170300012820007</v>
      </c>
      <c r="O5" s="25">
        <f>[4]RELATORIO!$E$110</f>
        <v>18185704938.77</v>
      </c>
      <c r="P5" s="25">
        <f>O5/$B$93</f>
        <v>10942060733.315283</v>
      </c>
      <c r="Q5" s="25">
        <f>[4]RELATORIO!$E$112</f>
        <v>985816</v>
      </c>
      <c r="R5" s="26">
        <f>O5/$O$46*100</f>
        <v>22.330773959605597</v>
      </c>
      <c r="S5" s="25">
        <f>[5]RELATORIO!$E$110</f>
        <v>19492425850.749996</v>
      </c>
      <c r="T5" s="25">
        <f>S5/$B$94</f>
        <v>11965884.500153465</v>
      </c>
      <c r="U5" s="25">
        <f>[5]RELATORIO!$E$112</f>
        <v>1033122</v>
      </c>
      <c r="V5" s="26">
        <f>S5/$S$46*100</f>
        <v>22.870293206121271</v>
      </c>
      <c r="W5" s="25">
        <f>[6]RELATORIO!$E$110</f>
        <v>20980585918.739998</v>
      </c>
      <c r="X5" s="25">
        <f>W5/$B$95</f>
        <v>13182900357.360979</v>
      </c>
      <c r="Y5" s="25">
        <f>[6]RELATORIO!$E$112</f>
        <v>1088808</v>
      </c>
      <c r="Z5" s="26">
        <f>W5/$W$46*100</f>
        <v>23.197994921422008</v>
      </c>
      <c r="AA5" s="25">
        <f>[7]RELATORIO!$E$110</f>
        <v>15488204556.540001</v>
      </c>
      <c r="AB5" s="25">
        <f t="shared" ref="AB5:AB14" si="0">AA5/$B$96</f>
        <v>9889033684.4208908</v>
      </c>
      <c r="AC5" s="25">
        <f>[7]RELATORIO!$E$112</f>
        <v>684643</v>
      </c>
      <c r="AD5" s="26">
        <f t="shared" ref="AD5:AD14" si="1">AA5/$AA$46*100</f>
        <v>16.191071479494116</v>
      </c>
      <c r="AE5" s="25">
        <f>[8]RELATORIO!$E$110</f>
        <v>16179812873.93</v>
      </c>
      <c r="AF5" s="25">
        <f t="shared" ref="AF5:AF14" si="2">AE5/$B$97</f>
        <v>9901966263.1150551</v>
      </c>
      <c r="AG5" s="25">
        <f>[8]RELATORIO!$E$112</f>
        <v>711255</v>
      </c>
      <c r="AH5" s="26">
        <f t="shared" ref="AH5:AH14" si="3">AE5/$AE$46*100</f>
        <v>16.116117074366183</v>
      </c>
      <c r="AI5" s="25">
        <f>[9]RELATORIO!$E$110</f>
        <v>16016103299.459995</v>
      </c>
      <c r="AJ5" s="25">
        <f>AI5/B98</f>
        <v>8368307278.0500526</v>
      </c>
      <c r="AK5" s="25">
        <f>[9]RELATORIO!$E$112</f>
        <v>654879</v>
      </c>
      <c r="AL5" s="26">
        <f t="shared" ref="AL5:AL14" si="4">AI5/$AI$46*100</f>
        <v>14.913869644659506</v>
      </c>
      <c r="AM5" s="25">
        <f>[10]RELATORIO!$E$110</f>
        <v>15813875689.910002</v>
      </c>
      <c r="AN5" s="25">
        <f t="shared" ref="AN5:AN14" si="5">AM5/$B$99</f>
        <v>7477363322.1003361</v>
      </c>
      <c r="AO5" s="25">
        <f>[10]RELATORIO!$E$112</f>
        <v>648577</v>
      </c>
      <c r="AP5" s="26">
        <f t="shared" ref="AP5:AP14" si="6">AM5/$AM$46*100</f>
        <v>14.482512514715326</v>
      </c>
      <c r="AQ5" s="25">
        <f>[11]RELATORIO!$E$110</f>
        <v>15585561556</v>
      </c>
      <c r="AR5" s="25">
        <f t="shared" ref="AR5:AR14" si="7">AQ5/$B$100</f>
        <v>6681339887.6837997</v>
      </c>
      <c r="AS5" s="25">
        <f>[11]RELATORIO!$E$112</f>
        <v>643406</v>
      </c>
      <c r="AT5" s="26">
        <f t="shared" ref="AT5:AT14" si="8">AQ5/$AQ$46*100</f>
        <v>14.247404113177318</v>
      </c>
      <c r="AU5" s="25">
        <f>[12]RELATORIO!$E$110</f>
        <v>15377957567.939999</v>
      </c>
      <c r="AV5" s="25">
        <f t="shared" ref="AV5:AV14" si="9">AU5/$B$101</f>
        <v>6581339368.2872553</v>
      </c>
      <c r="AW5" s="25">
        <f>[12]RELATORIO!$E$112</f>
        <v>636593</v>
      </c>
      <c r="AX5" s="27">
        <f t="shared" ref="AX5:AX14" si="10">AU5/$AU$46*100</f>
        <v>14.416568619567174</v>
      </c>
      <c r="AY5" s="28"/>
    </row>
    <row r="6" spans="1:51" s="22" customFormat="1" ht="30" customHeight="1">
      <c r="A6" s="29">
        <v>2</v>
      </c>
      <c r="B6" s="30" t="s">
        <v>20</v>
      </c>
      <c r="C6" s="31"/>
      <c r="D6" s="31"/>
      <c r="E6" s="31"/>
      <c r="F6" s="32">
        <f>C6/$C$46*100</f>
        <v>0</v>
      </c>
      <c r="G6" s="31"/>
      <c r="H6" s="31"/>
      <c r="I6" s="31"/>
      <c r="J6" s="32"/>
      <c r="K6" s="31"/>
      <c r="L6" s="31"/>
      <c r="M6" s="31"/>
      <c r="N6" s="32"/>
      <c r="O6" s="31"/>
      <c r="P6" s="31"/>
      <c r="Q6" s="31"/>
      <c r="R6" s="32"/>
      <c r="S6" s="31"/>
      <c r="T6" s="31"/>
      <c r="U6" s="31"/>
      <c r="V6" s="32"/>
      <c r="W6" s="31"/>
      <c r="X6" s="31"/>
      <c r="Y6" s="31"/>
      <c r="Z6" s="32"/>
      <c r="AA6" s="31">
        <f>[13]RELATORIO!$E$100</f>
        <v>7126523718.6899986</v>
      </c>
      <c r="AB6" s="31">
        <f t="shared" si="0"/>
        <v>4550200305.6378489</v>
      </c>
      <c r="AC6" s="31">
        <f>[13]RELATORIO!$E$102</f>
        <v>468034</v>
      </c>
      <c r="AD6" s="32">
        <f t="shared" si="1"/>
        <v>7.4499309786619143</v>
      </c>
      <c r="AE6" s="31">
        <f>[14]RELATORIO!$E$100</f>
        <v>7689975016.6599998</v>
      </c>
      <c r="AF6" s="31">
        <f t="shared" si="2"/>
        <v>4706227060.3794374</v>
      </c>
      <c r="AG6" s="31">
        <f>[14]RELATORIO!$E$102</f>
        <v>488138</v>
      </c>
      <c r="AH6" s="32">
        <f t="shared" si="3"/>
        <v>7.6597015449500052</v>
      </c>
      <c r="AI6" s="31">
        <f>[15]RELATORIO!$E$100</f>
        <v>9118981408.3600006</v>
      </c>
      <c r="AJ6" s="31">
        <f t="shared" ref="AJ6:AJ14" si="11">AI6/$B$98</f>
        <v>4764607037.128377</v>
      </c>
      <c r="AK6" s="31">
        <f>[15]RELATORIO!$E$102</f>
        <v>538071</v>
      </c>
      <c r="AL6" s="32">
        <f t="shared" si="4"/>
        <v>8.4914100186241939</v>
      </c>
      <c r="AM6" s="31">
        <f>[16]RELATORIO!$E$100</f>
        <v>9996720852.6700001</v>
      </c>
      <c r="AN6" s="31">
        <f t="shared" si="5"/>
        <v>4726805453.0568819</v>
      </c>
      <c r="AO6" s="31">
        <f>[16]RELATORIO!$E$102</f>
        <v>571439</v>
      </c>
      <c r="AP6" s="32">
        <f t="shared" si="6"/>
        <v>9.1551013612231635</v>
      </c>
      <c r="AQ6" s="31">
        <f>[17]RELATORIO!$E$100</f>
        <v>10344691328.57</v>
      </c>
      <c r="AR6" s="31">
        <f t="shared" si="7"/>
        <v>4434642829.583744</v>
      </c>
      <c r="AS6" s="31">
        <f>[17]RELATORIO!$E$102</f>
        <v>588707</v>
      </c>
      <c r="AT6" s="32">
        <f t="shared" si="8"/>
        <v>9.4565086573655659</v>
      </c>
      <c r="AU6" s="31">
        <f>[18]RELATORIO!$E$100</f>
        <v>10950751445.070002</v>
      </c>
      <c r="AV6" s="31">
        <f t="shared" si="9"/>
        <v>4686617925.6483793</v>
      </c>
      <c r="AW6" s="31">
        <f>[18]RELATORIO!$E$102</f>
        <v>616800</v>
      </c>
      <c r="AX6" s="33">
        <f t="shared" si="10"/>
        <v>10.266139631755033</v>
      </c>
      <c r="AY6" s="28"/>
    </row>
    <row r="7" spans="1:51" s="22" customFormat="1" ht="30" customHeight="1">
      <c r="A7" s="29">
        <v>3</v>
      </c>
      <c r="B7" s="28" t="s">
        <v>21</v>
      </c>
      <c r="C7" s="34">
        <f>'[19]ABEL QUADRO 2'!$I$124</f>
        <v>5074879934.6299992</v>
      </c>
      <c r="D7" s="31">
        <f t="shared" ref="D7:D14" si="12">C7/$B$90</f>
        <v>2864251007.2412229</v>
      </c>
      <c r="E7" s="31">
        <f>'[19]ABEL QUADRO 2'!$I$125</f>
        <v>195797</v>
      </c>
      <c r="F7" s="32">
        <f>C7/$C$46*100</f>
        <v>7.5651566946693158</v>
      </c>
      <c r="G7" s="34">
        <f>'[20]ABEL QUADRO 2'!$I$124</f>
        <v>5543470395.2800007</v>
      </c>
      <c r="H7" s="31">
        <f t="shared" ref="H7:H14" si="13">G7/$B$91</f>
        <v>3177320109.6348948</v>
      </c>
      <c r="I7" s="31">
        <f>'[20]ABEL QUADRO 2'!$I$125</f>
        <v>218095</v>
      </c>
      <c r="J7" s="32">
        <f t="shared" ref="J7:J14" si="14">G7/$G$46*100</f>
        <v>7.7883854502048129</v>
      </c>
      <c r="K7" s="34">
        <f>'[21]ABEL QUADRO 2'!$I$123</f>
        <v>6181022896.9300003</v>
      </c>
      <c r="L7" s="31">
        <f t="shared" ref="L7:L14" si="15">K7/$B$92</f>
        <v>3527981105.5536532</v>
      </c>
      <c r="M7" s="31">
        <f>'[21]ABEL QUADRO 2'!$I$124</f>
        <v>245651</v>
      </c>
      <c r="N7" s="32">
        <f t="shared" ref="N7:N14" si="16">K7/$K$46*100</f>
        <v>8.1287717115725666</v>
      </c>
      <c r="O7" s="34">
        <f>'[22]1147 ABEL QUADRO 2'!$I$124</f>
        <v>6902420489.6700001</v>
      </c>
      <c r="P7" s="31">
        <f t="shared" ref="P7:P14" si="17">O7/$B$93</f>
        <v>4153080920.3790617</v>
      </c>
      <c r="Q7" s="31">
        <f>'[22]1147 ABEL QUADRO 2'!$I$125</f>
        <v>274759</v>
      </c>
      <c r="R7" s="32">
        <f t="shared" ref="R7:R14" si="18">O7/$O$46*100</f>
        <v>8.4756896830745596</v>
      </c>
      <c r="S7" s="34">
        <f>'[23]ABEL QUADRO 2'!$I$123</f>
        <v>7419171391.7600002</v>
      </c>
      <c r="T7" s="31">
        <f t="shared" ref="T7:T14" si="19">S7/$B$94</f>
        <v>4554433.0213382449</v>
      </c>
      <c r="U7" s="31">
        <f>'[23]ABEL QUADRO 2'!$I$124</f>
        <v>299743</v>
      </c>
      <c r="V7" s="32">
        <f t="shared" ref="V7:V14" si="20">S7/$S$46*100</f>
        <v>8.7048490719019167</v>
      </c>
      <c r="W7" s="34">
        <f>'[24]ABEL QUADRO 2'!$I$124</f>
        <v>8058150187.8499985</v>
      </c>
      <c r="X7" s="31">
        <f t="shared" ref="X7:X14" si="21">W7/$B$95</f>
        <v>5063242342.3499832</v>
      </c>
      <c r="Y7" s="31">
        <f>'[24]ABEL QUADRO 2'!$I$125</f>
        <v>332338</v>
      </c>
      <c r="Z7" s="32">
        <f t="shared" ref="Z7:Z14" si="22">W7/$W$46*100</f>
        <v>8.9098048957169667</v>
      </c>
      <c r="AA7" s="34">
        <f>'[25]ABEL QUADRO 2'!$I$123</f>
        <v>8581259779.9400015</v>
      </c>
      <c r="AB7" s="31">
        <f t="shared" si="0"/>
        <v>5479031911.594944</v>
      </c>
      <c r="AC7" s="31">
        <f>'[25]ABEL QUADRO 2'!$I$124</f>
        <v>353626</v>
      </c>
      <c r="AD7" s="32">
        <f t="shared" si="1"/>
        <v>8.9706841082782702</v>
      </c>
      <c r="AE7" s="34">
        <f>'[26]ABEL QUADRO 2'!$I$123</f>
        <v>8989440856.8999977</v>
      </c>
      <c r="AF7" s="31">
        <f t="shared" si="2"/>
        <v>5501493792.4724588</v>
      </c>
      <c r="AG7" s="31">
        <f>'[26]ABEL QUADRO 2'!$I$124</f>
        <v>375304</v>
      </c>
      <c r="AH7" s="32">
        <f t="shared" si="3"/>
        <v>8.9540517193695841</v>
      </c>
      <c r="AI7" s="34">
        <f>'[27]ABEL QUADRO 2'!$I$123</f>
        <v>9686845392.3799973</v>
      </c>
      <c r="AJ7" s="31">
        <f t="shared" si="11"/>
        <v>5061312185.7881804</v>
      </c>
      <c r="AK7" s="31">
        <f>'[27]ABEL QUADRO 2'!$I$124</f>
        <v>410542</v>
      </c>
      <c r="AL7" s="32">
        <f t="shared" si="4"/>
        <v>9.0201934108901991</v>
      </c>
      <c r="AM7" s="34">
        <f>'[28]ABEL QUADRO 2'!$I$124</f>
        <v>9859051645.7599983</v>
      </c>
      <c r="AN7" s="31">
        <f t="shared" si="5"/>
        <v>4661710551.6856585</v>
      </c>
      <c r="AO7" s="31">
        <f>'[28]ABEL QUADRO 2'!$I$125</f>
        <v>414327</v>
      </c>
      <c r="AP7" s="32">
        <f t="shared" si="6"/>
        <v>9.0290224637371299</v>
      </c>
      <c r="AQ7" s="35">
        <f>'[29]ABEL QUADRO 2'!$I$123</f>
        <v>10028054842.200001</v>
      </c>
      <c r="AR7" s="31">
        <f t="shared" si="7"/>
        <v>4298904635.0580873</v>
      </c>
      <c r="AS7" s="31">
        <f>'[29]ABEL QUADRO 2'!$I$124</f>
        <v>430134</v>
      </c>
      <c r="AT7" s="32">
        <f t="shared" si="8"/>
        <v>9.1670581963038504</v>
      </c>
      <c r="AU7" s="35">
        <f>'[30]ABEL QUADRO 2'!$I$124</f>
        <v>10298382945.800001</v>
      </c>
      <c r="AV7" s="31">
        <f t="shared" si="9"/>
        <v>4407422299.8373718</v>
      </c>
      <c r="AW7" s="31">
        <f>'[30]ABEL QUADRO 2'!$I$125</f>
        <v>453792</v>
      </c>
      <c r="AX7" s="33">
        <f t="shared" si="10"/>
        <v>9.6545554734935095</v>
      </c>
      <c r="AY7" s="28"/>
    </row>
    <row r="8" spans="1:51" s="22" customFormat="1" ht="30" customHeight="1">
      <c r="A8" s="29">
        <v>4</v>
      </c>
      <c r="B8" s="28" t="s">
        <v>22</v>
      </c>
      <c r="C8" s="31">
        <f>'[31]Abel-1'!$D$111</f>
        <v>5933634875.5499992</v>
      </c>
      <c r="D8" s="31">
        <f t="shared" si="12"/>
        <v>3348930395.9532676</v>
      </c>
      <c r="E8" s="31">
        <f>'[31]Abel-1'!$D$112</f>
        <v>198874</v>
      </c>
      <c r="F8" s="32">
        <f t="shared" ref="F8:F14" si="23">C8/$C$46*100</f>
        <v>8.8453082990549969</v>
      </c>
      <c r="G8" s="36">
        <f>'[31]Abel-1'!$D$111</f>
        <v>5933634875.5499992</v>
      </c>
      <c r="H8" s="36">
        <f t="shared" si="13"/>
        <v>3400948515.8193383</v>
      </c>
      <c r="I8" s="36">
        <f>'[31]Abel-1'!$D$112</f>
        <v>198874</v>
      </c>
      <c r="J8" s="37">
        <f t="shared" si="14"/>
        <v>8.3365531402332351</v>
      </c>
      <c r="K8" s="31">
        <f>'[32]Abel-1'!$D$111</f>
        <v>6575315639.0500011</v>
      </c>
      <c r="L8" s="31">
        <f t="shared" si="15"/>
        <v>3753034040.5536537</v>
      </c>
      <c r="M8" s="31">
        <f>'[32]Abel-1'!$D$112</f>
        <v>208112</v>
      </c>
      <c r="N8" s="32">
        <f t="shared" si="16"/>
        <v>8.6473130180309798</v>
      </c>
      <c r="O8" s="31">
        <f>'[33]Abel-1'!$D$111</f>
        <v>7047156242.5500002</v>
      </c>
      <c r="P8" s="31">
        <f t="shared" si="17"/>
        <v>4240166210.920578</v>
      </c>
      <c r="Q8" s="31">
        <f>'[33]Abel-1'!$D$112</f>
        <v>233613</v>
      </c>
      <c r="R8" s="32">
        <f t="shared" si="18"/>
        <v>8.6534150664082681</v>
      </c>
      <c r="S8" s="31">
        <f>'[34]Abel-1'!$D$111</f>
        <v>7420099389.4300003</v>
      </c>
      <c r="T8" s="31">
        <f t="shared" si="19"/>
        <v>4555002.6945549417</v>
      </c>
      <c r="U8" s="31">
        <f>'[34]Abel-1'!$D$112</f>
        <v>243838</v>
      </c>
      <c r="V8" s="32">
        <f t="shared" si="20"/>
        <v>8.7059378834726271</v>
      </c>
      <c r="W8" s="31">
        <f>'[35]Abel-1'!$D$115</f>
        <v>7749402859.8299971</v>
      </c>
      <c r="X8" s="31">
        <f t="shared" si="21"/>
        <v>4869244649.5947208</v>
      </c>
      <c r="Y8" s="31">
        <f>'[35]Abel-1'!$D$112</f>
        <v>255348</v>
      </c>
      <c r="Z8" s="32">
        <f t="shared" si="22"/>
        <v>8.568426491169495</v>
      </c>
      <c r="AA8" s="31">
        <f>'[36]Abel-1'!$D$111</f>
        <v>8122927463.1700001</v>
      </c>
      <c r="AB8" s="31">
        <f t="shared" si="0"/>
        <v>5186392199.6999102</v>
      </c>
      <c r="AC8" s="31">
        <f>'[36]Abel-1'!$D$112</f>
        <v>267326</v>
      </c>
      <c r="AD8" s="32">
        <f t="shared" si="1"/>
        <v>8.4915523099413406</v>
      </c>
      <c r="AE8" s="36">
        <v>8122927463.1700001</v>
      </c>
      <c r="AF8" s="36">
        <f t="shared" si="2"/>
        <v>4971191837.9253368</v>
      </c>
      <c r="AG8" s="36">
        <v>267326</v>
      </c>
      <c r="AH8" s="37">
        <f t="shared" si="3"/>
        <v>8.0909495680239356</v>
      </c>
      <c r="AI8" s="31">
        <f>'[37]Abel-1'!$D$111</f>
        <v>8824726622.4200001</v>
      </c>
      <c r="AJ8" s="31">
        <f t="shared" si="11"/>
        <v>4610860871.7383356</v>
      </c>
      <c r="AK8" s="31">
        <f>'[37]Abel-1'!$D$112</f>
        <v>290785</v>
      </c>
      <c r="AL8" s="32">
        <f t="shared" si="4"/>
        <v>8.2174059467364753</v>
      </c>
      <c r="AM8" s="31">
        <f>'[38]Abel-1'!$D$111</f>
        <v>9059171149.9000015</v>
      </c>
      <c r="AN8" s="31">
        <f t="shared" si="5"/>
        <v>4283498581.4459319</v>
      </c>
      <c r="AO8" s="31">
        <f>'[38]Abel-1'!$D$112</f>
        <v>300776</v>
      </c>
      <c r="AP8" s="32">
        <f t="shared" si="6"/>
        <v>8.2964835517890343</v>
      </c>
      <c r="AQ8" s="31">
        <f>'[39]Abel-1'!$D$111</f>
        <v>9044404168.1600018</v>
      </c>
      <c r="AR8" s="31">
        <f t="shared" si="7"/>
        <v>3877225604.7327137</v>
      </c>
      <c r="AS8" s="31">
        <f>'[39]Abel-1'!$D$112</f>
        <v>303414</v>
      </c>
      <c r="AT8" s="32">
        <f t="shared" si="8"/>
        <v>8.2678625780457473</v>
      </c>
      <c r="AU8" s="31">
        <f>'[40]Abel-1'!$D$111</f>
        <v>9019795709.8099995</v>
      </c>
      <c r="AV8" s="31">
        <f t="shared" si="9"/>
        <v>3860222421.3857741</v>
      </c>
      <c r="AW8" s="31">
        <f>'[40]Abel-1'!$D$112</f>
        <v>308248</v>
      </c>
      <c r="AX8" s="33">
        <f t="shared" si="10"/>
        <v>8.4559021060150208</v>
      </c>
      <c r="AY8" s="28"/>
    </row>
    <row r="9" spans="1:51" s="22" customFormat="1" ht="30" customHeight="1">
      <c r="A9" s="29">
        <v>5</v>
      </c>
      <c r="B9" s="38" t="s">
        <v>23</v>
      </c>
      <c r="C9" s="39">
        <f>[41]RELATORIO!$E$100</f>
        <v>12148353124.450001</v>
      </c>
      <c r="D9" s="31">
        <f t="shared" si="12"/>
        <v>6856503625.9453669</v>
      </c>
      <c r="E9" s="31">
        <f>[41]RELATORIO!$E$102</f>
        <v>580121</v>
      </c>
      <c r="F9" s="32">
        <f t="shared" si="23"/>
        <v>18.109629420294926</v>
      </c>
      <c r="G9" s="39">
        <f>[42]ITAUCARD!$E$100</f>
        <v>11887223712.239998</v>
      </c>
      <c r="H9" s="31">
        <f t="shared" si="13"/>
        <v>6813333932.6187878</v>
      </c>
      <c r="I9" s="31">
        <f>[42]ITAUCARD!$E$102</f>
        <v>601977</v>
      </c>
      <c r="J9" s="32">
        <f t="shared" si="14"/>
        <v>16.701140910316582</v>
      </c>
      <c r="K9" s="39">
        <f>[43]RELATORIO!$E$100</f>
        <v>11588969026.060001</v>
      </c>
      <c r="L9" s="31">
        <f t="shared" si="15"/>
        <v>6614708348.2077637</v>
      </c>
      <c r="M9" s="31">
        <f>[43]RELATORIO!$E$102</f>
        <v>592566</v>
      </c>
      <c r="N9" s="32">
        <f t="shared" si="16"/>
        <v>15.240856595453907</v>
      </c>
      <c r="O9" s="39">
        <f>[44]RELATORIO!$E$100</f>
        <v>11259765694.560001</v>
      </c>
      <c r="P9" s="31">
        <f t="shared" si="17"/>
        <v>6774828937.761734</v>
      </c>
      <c r="Q9" s="31">
        <f>[44]RELATORIO!$E$102</f>
        <v>585641</v>
      </c>
      <c r="R9" s="32">
        <f t="shared" si="18"/>
        <v>13.826204890595081</v>
      </c>
      <c r="S9" s="39">
        <f>[45]RELATORIO!$E$100</f>
        <v>10942396014.170002</v>
      </c>
      <c r="T9" s="31">
        <f t="shared" si="19"/>
        <v>6717247.3997360356</v>
      </c>
      <c r="U9" s="31">
        <f>[45]RELATORIO!$E$102</f>
        <v>579062</v>
      </c>
      <c r="V9" s="32">
        <f t="shared" si="20"/>
        <v>12.83861778609417</v>
      </c>
      <c r="W9" s="39">
        <f>[46]RELATORIO!$E$100</f>
        <v>10599845541.939999</v>
      </c>
      <c r="X9" s="31">
        <f t="shared" si="21"/>
        <v>6660286234.3323908</v>
      </c>
      <c r="Y9" s="31">
        <f>[46]RELATORIO!$E$102</f>
        <v>571086</v>
      </c>
      <c r="Z9" s="32">
        <f t="shared" si="22"/>
        <v>11.720128503663314</v>
      </c>
      <c r="AA9" s="39">
        <f>[47]RELATORIO!$E$100</f>
        <v>10257765723.32</v>
      </c>
      <c r="AB9" s="31">
        <f t="shared" si="0"/>
        <v>6549460939.4202528</v>
      </c>
      <c r="AC9" s="31">
        <f>[47]RELATORIO!$E$102</f>
        <v>559489</v>
      </c>
      <c r="AD9" s="32">
        <f t="shared" si="1"/>
        <v>10.72327121196553</v>
      </c>
      <c r="AE9" s="39">
        <f>[48]RELATORIO!$E$100</f>
        <v>9944217846.1900005</v>
      </c>
      <c r="AF9" s="31">
        <f t="shared" si="2"/>
        <v>6085812635.367198</v>
      </c>
      <c r="AG9" s="31">
        <f>[48]RELATORIO!$E$102</f>
        <v>548388</v>
      </c>
      <c r="AH9" s="32">
        <f t="shared" si="3"/>
        <v>9.9050699949951078</v>
      </c>
      <c r="AI9" s="39">
        <f>[49]RELATORIO!$E$100</f>
        <v>9596267620.3000011</v>
      </c>
      <c r="AJ9" s="31">
        <f t="shared" si="11"/>
        <v>5013985903.2864838</v>
      </c>
      <c r="AK9" s="31">
        <f>[49]RELATORIO!$E$102</f>
        <v>536792</v>
      </c>
      <c r="AL9" s="32">
        <f t="shared" si="4"/>
        <v>8.9358492317695344</v>
      </c>
      <c r="AM9" s="39">
        <f>[50]RELATORIO!$E$100</f>
        <v>9310957329.5499992</v>
      </c>
      <c r="AN9" s="31">
        <f t="shared" si="5"/>
        <v>4402552049.5295286</v>
      </c>
      <c r="AO9" s="31">
        <f>[50]RELATORIO!$E$102</f>
        <v>527379</v>
      </c>
      <c r="AP9" s="32">
        <f t="shared" si="6"/>
        <v>8.5270719647319861</v>
      </c>
      <c r="AQ9" s="39">
        <f>[51]RELATORIO!$E$100</f>
        <v>9076111487.2400017</v>
      </c>
      <c r="AR9" s="31">
        <f t="shared" si="7"/>
        <v>3890818145.1708326</v>
      </c>
      <c r="AS9" s="31">
        <f>[51]RELATORIO!$E$102</f>
        <v>519727</v>
      </c>
      <c r="AT9" s="32">
        <f t="shared" si="8"/>
        <v>8.2968475451035637</v>
      </c>
      <c r="AU9" s="39">
        <f>[52]RELATORIO!$E$100</f>
        <v>8801011239.4500008</v>
      </c>
      <c r="AV9" s="31">
        <f t="shared" si="9"/>
        <v>3766588735.5345378</v>
      </c>
      <c r="AW9" s="31">
        <f>[52]RELATORIO!$E$102</f>
        <v>512395</v>
      </c>
      <c r="AX9" s="33">
        <f t="shared" si="10"/>
        <v>8.2507954580153982</v>
      </c>
      <c r="AY9" s="28"/>
    </row>
    <row r="10" spans="1:51" s="22" customFormat="1" ht="30" customHeight="1">
      <c r="A10" s="29">
        <v>6</v>
      </c>
      <c r="B10" s="38" t="s">
        <v>24</v>
      </c>
      <c r="C10" s="31">
        <f>[53]PRODUÇÃO!$F$41</f>
        <v>4667888405</v>
      </c>
      <c r="D10" s="31">
        <f t="shared" si="12"/>
        <v>2634545888.3621178</v>
      </c>
      <c r="E10" s="31">
        <f>[53]PRODUÇÃO!$F$42</f>
        <v>205126</v>
      </c>
      <c r="F10" s="32">
        <f t="shared" si="23"/>
        <v>6.9584517608158274</v>
      </c>
      <c r="G10" s="31">
        <f>[54]PRODUÇÃO!$F$41</f>
        <v>5304193931</v>
      </c>
      <c r="H10" s="31">
        <f t="shared" si="13"/>
        <v>3040175348.7705626</v>
      </c>
      <c r="I10" s="31">
        <f>[54]PRODUÇÃO!$F$42</f>
        <v>232251</v>
      </c>
      <c r="J10" s="32">
        <f t="shared" si="14"/>
        <v>7.4522102386330946</v>
      </c>
      <c r="K10" s="31">
        <f>[55]PRODUÇÃO!$F$41</f>
        <v>6122253975</v>
      </c>
      <c r="L10" s="31">
        <f t="shared" si="15"/>
        <v>3494437200.3424659</v>
      </c>
      <c r="M10" s="31">
        <f>[55]PRODUÇÃO!$F$42</f>
        <v>265118</v>
      </c>
      <c r="N10" s="32">
        <f t="shared" si="16"/>
        <v>8.0514836707304145</v>
      </c>
      <c r="O10" s="31">
        <f>[56]PRODUÇÃO!$F$41</f>
        <v>6960108857</v>
      </c>
      <c r="P10" s="31">
        <f t="shared" si="17"/>
        <v>4187791129.3622146</v>
      </c>
      <c r="Q10" s="31">
        <f>[56]PRODUÇÃO!$F$42</f>
        <v>287866</v>
      </c>
      <c r="R10" s="32">
        <f t="shared" si="18"/>
        <v>8.5465269640753387</v>
      </c>
      <c r="S10" s="31">
        <f>[57]PRODUÇÃO!$F$41</f>
        <v>8100976984</v>
      </c>
      <c r="T10" s="31">
        <f t="shared" si="19"/>
        <v>4972975.4352363413</v>
      </c>
      <c r="U10" s="31">
        <f>[57]PRODUÇÃO!$F$42</f>
        <v>332874</v>
      </c>
      <c r="V10" s="32">
        <f t="shared" si="20"/>
        <v>9.5048056254625397</v>
      </c>
      <c r="W10" s="31">
        <f>[58]PRODUÇÃO!$F$41</f>
        <v>8395988508</v>
      </c>
      <c r="X10" s="31">
        <f t="shared" si="21"/>
        <v>5275519012.2525921</v>
      </c>
      <c r="Y10" s="31">
        <f>[58]PRODUÇÃO!$F$42</f>
        <v>359214</v>
      </c>
      <c r="Z10" s="32">
        <f t="shared" si="22"/>
        <v>9.2833488789715641</v>
      </c>
      <c r="AA10" s="31">
        <f>[59]PRODUÇÃO!$F$41</f>
        <v>9251052049</v>
      </c>
      <c r="AB10" s="31">
        <f t="shared" si="0"/>
        <v>5906686278.2530966</v>
      </c>
      <c r="AC10" s="31">
        <f>[59]PRODUÇÃO!$F$42</f>
        <v>392804</v>
      </c>
      <c r="AD10" s="32">
        <f t="shared" si="1"/>
        <v>9.670872078108756</v>
      </c>
      <c r="AE10" s="31">
        <f>[60]PRODUÇÃO!$F$41</f>
        <v>10095787827</v>
      </c>
      <c r="AF10" s="31">
        <f t="shared" si="2"/>
        <v>6178572721.5422277</v>
      </c>
      <c r="AG10" s="31">
        <f>[60]PRODUÇÃO!$F$42</f>
        <v>428578</v>
      </c>
      <c r="AH10" s="32">
        <f t="shared" si="3"/>
        <v>10.056043283421037</v>
      </c>
      <c r="AI10" s="31">
        <f>[61]PRODUÇÃO!$F$41</f>
        <v>11047883282</v>
      </c>
      <c r="AJ10" s="31">
        <f t="shared" si="11"/>
        <v>5772445416.1659441</v>
      </c>
      <c r="AK10" s="31">
        <f>[61]PRODUÇÃO!$F$42</f>
        <v>468660</v>
      </c>
      <c r="AL10" s="32">
        <f t="shared" si="4"/>
        <v>10.287564211871459</v>
      </c>
      <c r="AM10" s="31">
        <f>[62]PRODUÇÃO!$F$41</f>
        <v>11425059525</v>
      </c>
      <c r="AN10" s="31">
        <f t="shared" si="5"/>
        <v>5402174819.1403847</v>
      </c>
      <c r="AO10" s="31">
        <f>[62]PRODUÇÃO!$F$42</f>
        <v>487548</v>
      </c>
      <c r="AP10" s="32">
        <f t="shared" si="6"/>
        <v>10.463188834711378</v>
      </c>
      <c r="AQ10" s="31">
        <f>[63]PRODUÇÃO!$F$41</f>
        <v>11583633205</v>
      </c>
      <c r="AR10" s="31">
        <f t="shared" si="7"/>
        <v>4965762080.4218292</v>
      </c>
      <c r="AS10" s="31">
        <f>[63]PRODUÇÃO!$F$42</f>
        <v>501639</v>
      </c>
      <c r="AT10" s="32">
        <f t="shared" si="8"/>
        <v>10.589076484505615</v>
      </c>
      <c r="AU10" s="31">
        <f>[64]PRODUÇÃO!$F$41</f>
        <v>8160409670</v>
      </c>
      <c r="AV10" s="31">
        <f t="shared" si="9"/>
        <v>3492429029.3588977</v>
      </c>
      <c r="AW10" s="31">
        <f>[64]PRODUÇÃO!$F$42</f>
        <v>335638</v>
      </c>
      <c r="AX10" s="33">
        <f t="shared" si="10"/>
        <v>7.650242592462428</v>
      </c>
      <c r="AY10" s="28"/>
    </row>
    <row r="11" spans="1:51" s="22" customFormat="1" ht="30" customHeight="1">
      <c r="A11" s="29">
        <v>7</v>
      </c>
      <c r="B11" s="40" t="s">
        <v>25</v>
      </c>
      <c r="C11" s="31">
        <f>[65]Plan1!$D$95</f>
        <v>4309637895.7200003</v>
      </c>
      <c r="D11" s="31">
        <f t="shared" si="12"/>
        <v>2432350093.5320015</v>
      </c>
      <c r="E11" s="31">
        <f>[65]Plan1!$D$96</f>
        <v>48662</v>
      </c>
      <c r="F11" s="32">
        <f t="shared" si="23"/>
        <v>6.4244053846337508</v>
      </c>
      <c r="G11" s="31">
        <f>[66]Plan1!$D$95</f>
        <v>4593105207.3899994</v>
      </c>
      <c r="H11" s="31">
        <f t="shared" si="13"/>
        <v>2632604578.087923</v>
      </c>
      <c r="I11" s="31">
        <f>[66]Plan1!$D$96</f>
        <v>53049</v>
      </c>
      <c r="J11" s="32">
        <f t="shared" si="14"/>
        <v>6.4531550125991686</v>
      </c>
      <c r="K11" s="31">
        <f>[67]Plan1!$D$95</f>
        <v>5044061233.8999987</v>
      </c>
      <c r="L11" s="31">
        <f t="shared" si="15"/>
        <v>2879030384.6461182</v>
      </c>
      <c r="M11" s="31">
        <f>[67]Plan1!$D$96</f>
        <v>59386</v>
      </c>
      <c r="N11" s="32">
        <f t="shared" si="16"/>
        <v>6.6335334706381799</v>
      </c>
      <c r="O11" s="31">
        <f>[68]Plan1!$D$95</f>
        <v>5541008780.3599997</v>
      </c>
      <c r="P11" s="31">
        <f t="shared" si="17"/>
        <v>3333940301.0589652</v>
      </c>
      <c r="Q11" s="31">
        <f>[68]Plan1!$D$96</f>
        <v>66806</v>
      </c>
      <c r="R11" s="32">
        <f t="shared" si="18"/>
        <v>6.8039713059799558</v>
      </c>
      <c r="S11" s="31">
        <f>[69]Plan1!$D$95</f>
        <v>6024894683.2399998</v>
      </c>
      <c r="T11" s="31">
        <f t="shared" si="19"/>
        <v>3698523.4396807854</v>
      </c>
      <c r="U11" s="31">
        <f>[69]Plan1!$D$96</f>
        <v>74599</v>
      </c>
      <c r="V11" s="32">
        <f t="shared" si="20"/>
        <v>7.0689563729389917</v>
      </c>
      <c r="W11" s="31">
        <f>[70]Plan1!$D$95</f>
        <v>6607555138.1300011</v>
      </c>
      <c r="X11" s="31">
        <f t="shared" si="21"/>
        <v>4151778283.4621434</v>
      </c>
      <c r="Y11" s="31">
        <f>[70]Plan1!$D$96</f>
        <v>83293</v>
      </c>
      <c r="Z11" s="32">
        <f t="shared" si="22"/>
        <v>7.3058984687574018</v>
      </c>
      <c r="AA11" s="31">
        <f>[71]Plan1!$D$95</f>
        <v>7178990210.8799992</v>
      </c>
      <c r="AB11" s="31">
        <f t="shared" si="0"/>
        <v>4583699534.4655848</v>
      </c>
      <c r="AC11" s="31">
        <f>[71]Plan1!$D$96</f>
        <v>92929</v>
      </c>
      <c r="AD11" s="32">
        <f t="shared" si="1"/>
        <v>7.5047784415957581</v>
      </c>
      <c r="AE11" s="31">
        <f>[72]Plan1!$D$95</f>
        <v>7708455420.7799988</v>
      </c>
      <c r="AF11" s="31">
        <f t="shared" si="2"/>
        <v>4717536977.2215414</v>
      </c>
      <c r="AG11" s="31">
        <f>[72]Plan1!$D$96</f>
        <v>101457</v>
      </c>
      <c r="AH11" s="32">
        <f t="shared" si="3"/>
        <v>7.6781091964290535</v>
      </c>
      <c r="AI11" s="31">
        <f>[73]Plan1!$D$95</f>
        <v>8208160683.0700006</v>
      </c>
      <c r="AJ11" s="31">
        <f t="shared" si="11"/>
        <v>4288709275.8608084</v>
      </c>
      <c r="AK11" s="31">
        <f>[73]Plan1!$D$96</f>
        <v>110387</v>
      </c>
      <c r="AL11" s="32">
        <f t="shared" si="4"/>
        <v>7.6432722842049046</v>
      </c>
      <c r="AM11" s="31">
        <f>[74]Plan1!$D$95</f>
        <v>8311918409.1400023</v>
      </c>
      <c r="AN11" s="31">
        <f t="shared" si="5"/>
        <v>3930170887.1057744</v>
      </c>
      <c r="AO11" s="31">
        <f>[74]Plan1!$D$96</f>
        <v>114424</v>
      </c>
      <c r="AP11" s="32">
        <f t="shared" si="6"/>
        <v>7.612141687598398</v>
      </c>
      <c r="AQ11" s="31">
        <f>[75]Plan1!$D$95</f>
        <v>8454849624.7800016</v>
      </c>
      <c r="AR11" s="31">
        <f t="shared" si="7"/>
        <v>3624490772.4010811</v>
      </c>
      <c r="AS11" s="31">
        <f>[75]Plan1!$D$96</f>
        <v>117960</v>
      </c>
      <c r="AT11" s="32">
        <f t="shared" si="8"/>
        <v>7.7289264738756049</v>
      </c>
      <c r="AU11" s="31">
        <f>[76]Plan1!$D$95</f>
        <v>6224366665.6399994</v>
      </c>
      <c r="AV11" s="31">
        <f t="shared" si="9"/>
        <v>2663856315.0047078</v>
      </c>
      <c r="AW11" s="31">
        <f>[76]Plan1!$D$96</f>
        <v>117960</v>
      </c>
      <c r="AX11" s="33">
        <f t="shared" si="10"/>
        <v>5.835235840136745</v>
      </c>
      <c r="AY11" s="28"/>
    </row>
    <row r="12" spans="1:51" s="22" customFormat="1" ht="30" customHeight="1">
      <c r="A12" s="29">
        <v>8</v>
      </c>
      <c r="B12" s="38" t="s">
        <v>26</v>
      </c>
      <c r="C12" s="31">
        <f>[77]abel!$D$7</f>
        <v>4639631042.7600002</v>
      </c>
      <c r="D12" s="31">
        <f t="shared" si="12"/>
        <v>2618597495.6315613</v>
      </c>
      <c r="E12" s="41">
        <f>[77]abel!$D$8</f>
        <v>60521</v>
      </c>
      <c r="F12" s="32">
        <f t="shared" si="23"/>
        <v>6.9163283261972266</v>
      </c>
      <c r="G12" s="31">
        <f>[78]abel!$D$7</f>
        <v>4606334636.9399996</v>
      </c>
      <c r="H12" s="31">
        <f t="shared" si="13"/>
        <v>2640187216.6790853</v>
      </c>
      <c r="I12" s="41">
        <f>[78]abel!$D$8</f>
        <v>59797</v>
      </c>
      <c r="J12" s="32">
        <f t="shared" si="14"/>
        <v>6.4717419065978206</v>
      </c>
      <c r="K12" s="31">
        <f>[79]abel!$D$7</f>
        <v>4600096964.5600004</v>
      </c>
      <c r="L12" s="31">
        <f t="shared" si="15"/>
        <v>2625626121.3242011</v>
      </c>
      <c r="M12" s="41">
        <f>[79]abel!$D$8</f>
        <v>58880</v>
      </c>
      <c r="N12" s="32">
        <f t="shared" si="16"/>
        <v>6.0496682668136765</v>
      </c>
      <c r="O12" s="31">
        <f>[80]abel!$D$7</f>
        <v>4592940188.9499998</v>
      </c>
      <c r="P12" s="31">
        <f t="shared" si="17"/>
        <v>2763501918.7424788</v>
      </c>
      <c r="Q12" s="41">
        <f>[80]abel!$D$8</f>
        <v>57893</v>
      </c>
      <c r="R12" s="32">
        <f t="shared" si="18"/>
        <v>5.6398093730628638</v>
      </c>
      <c r="S12" s="31">
        <f>[81]abel!$D$7</f>
        <v>4614939530.0100002</v>
      </c>
      <c r="T12" s="31">
        <f t="shared" si="19"/>
        <v>2832989.2756353593</v>
      </c>
      <c r="U12" s="41">
        <f>[81]abel!$D$8</f>
        <v>56130</v>
      </c>
      <c r="V12" s="32">
        <f t="shared" si="20"/>
        <v>5.4146682915706572</v>
      </c>
      <c r="W12" s="31">
        <f>[82]abel!$D$17</f>
        <v>4642963451.4699993</v>
      </c>
      <c r="X12" s="31">
        <f t="shared" si="21"/>
        <v>2917350582.1363492</v>
      </c>
      <c r="Y12" s="41">
        <f>[82]abel!$D$18</f>
        <v>56117</v>
      </c>
      <c r="Z12" s="32">
        <f t="shared" si="22"/>
        <v>5.1336718137763757</v>
      </c>
      <c r="AA12" s="36">
        <f>W12</f>
        <v>4642963451.4699993</v>
      </c>
      <c r="AB12" s="36">
        <f t="shared" si="0"/>
        <v>2964476728.04878</v>
      </c>
      <c r="AC12" s="42">
        <f>Y12</f>
        <v>56117</v>
      </c>
      <c r="AD12" s="37">
        <f t="shared" si="1"/>
        <v>4.8536647901958707</v>
      </c>
      <c r="AE12" s="31">
        <f>[83]abel!$D$17</f>
        <v>4838421842.9599991</v>
      </c>
      <c r="AF12" s="31">
        <f t="shared" si="2"/>
        <v>2961090479.1676865</v>
      </c>
      <c r="AG12" s="42">
        <f>$AC$12</f>
        <v>56117</v>
      </c>
      <c r="AH12" s="32">
        <f t="shared" si="3"/>
        <v>4.81937420932445</v>
      </c>
      <c r="AI12" s="31">
        <f>[84]abel!$D$17</f>
        <v>4980730963.9900007</v>
      </c>
      <c r="AJ12" s="31">
        <f t="shared" si="11"/>
        <v>2602398748.1007371</v>
      </c>
      <c r="AK12" s="42">
        <v>56117</v>
      </c>
      <c r="AL12" s="32">
        <f t="shared" si="4"/>
        <v>4.6379553717395581</v>
      </c>
      <c r="AM12" s="31">
        <f>[85]abel!$D$17</f>
        <v>4898522947.6700001</v>
      </c>
      <c r="AN12" s="31">
        <f t="shared" si="5"/>
        <v>2316196012.8942266</v>
      </c>
      <c r="AO12" s="42">
        <v>56117</v>
      </c>
      <c r="AP12" s="32">
        <f t="shared" si="6"/>
        <v>4.4861184749615752</v>
      </c>
      <c r="AQ12" s="31">
        <f>[86]abel!$D$17</f>
        <v>4793493576.8400002</v>
      </c>
      <c r="AR12" s="31">
        <f t="shared" si="7"/>
        <v>2054912151.9440992</v>
      </c>
      <c r="AS12" s="42">
        <v>56117</v>
      </c>
      <c r="AT12" s="32">
        <f t="shared" si="8"/>
        <v>4.3819300227182181</v>
      </c>
      <c r="AU12" s="31">
        <f>[87]abel!$D$17</f>
        <v>4594511283.8000002</v>
      </c>
      <c r="AV12" s="31">
        <f t="shared" si="9"/>
        <v>1966323411.7093215</v>
      </c>
      <c r="AW12" s="42">
        <v>56117</v>
      </c>
      <c r="AX12" s="33">
        <f t="shared" si="10"/>
        <v>4.3072746756935789</v>
      </c>
      <c r="AY12" s="43" t="s">
        <v>27</v>
      </c>
    </row>
    <row r="13" spans="1:51" s="22" customFormat="1" ht="30" customHeight="1">
      <c r="A13" s="29">
        <v>9</v>
      </c>
      <c r="B13" s="30" t="s">
        <v>28</v>
      </c>
      <c r="C13" s="31">
        <f>'[88]ABEL-CONSOLIDADO'!$E$124</f>
        <v>2387885097.21</v>
      </c>
      <c r="D13" s="31">
        <f t="shared" si="12"/>
        <v>1347717065.8144259</v>
      </c>
      <c r="E13" s="31">
        <f>'[88]ABEL-CONSOLIDADO'!$E$126</f>
        <v>94232</v>
      </c>
      <c r="F13" s="32">
        <f t="shared" si="23"/>
        <v>3.5596359247810248</v>
      </c>
      <c r="G13" s="31">
        <f>'[89]ABEL-CONSOLIDADO'!$E$124</f>
        <v>2509788768.2400002</v>
      </c>
      <c r="H13" s="31">
        <f t="shared" si="13"/>
        <v>1438521676.0703847</v>
      </c>
      <c r="I13" s="31">
        <f>'[89]ABEL-CONSOLIDADO'!$E$126</f>
        <v>99920</v>
      </c>
      <c r="J13" s="32">
        <f t="shared" si="14"/>
        <v>3.5261669914015208</v>
      </c>
      <c r="K13" s="31">
        <f>'[90]ABEL-CONSOLIDADO'!$E$124</f>
        <v>2488169521.789999</v>
      </c>
      <c r="L13" s="31">
        <f t="shared" si="15"/>
        <v>1420188083.2134697</v>
      </c>
      <c r="M13" s="31">
        <f>'[90]ABEL-CONSOLIDADO'!$E$126</f>
        <v>106517</v>
      </c>
      <c r="N13" s="32">
        <f t="shared" si="16"/>
        <v>3.2722354146866772</v>
      </c>
      <c r="O13" s="31">
        <f>'[91]ABEL-CONSOLIDADO'!$E$124</f>
        <v>3003385769.4299998</v>
      </c>
      <c r="P13" s="31">
        <f t="shared" si="17"/>
        <v>1807091317.3465705</v>
      </c>
      <c r="Q13" s="31">
        <f>'[91]ABEL-CONSOLIDADO'!$E$126</f>
        <v>120358</v>
      </c>
      <c r="R13" s="32">
        <f t="shared" si="18"/>
        <v>3.6879477015848714</v>
      </c>
      <c r="S13" s="31">
        <f>'[92]ABEL-CONSOLIDADO'!$E$124</f>
        <v>3510398540.3100004</v>
      </c>
      <c r="T13" s="31">
        <f t="shared" si="19"/>
        <v>2154940.7859484348</v>
      </c>
      <c r="U13" s="31">
        <f>'[92]ABEL-CONSOLIDADO'!$E$126</f>
        <v>148308</v>
      </c>
      <c r="V13" s="32">
        <f t="shared" si="20"/>
        <v>4.118719983954219</v>
      </c>
      <c r="W13" s="31">
        <f>'[93]ABEL-CONSOLIDADO'!$E$124</f>
        <v>3368934168.0600009</v>
      </c>
      <c r="X13" s="31">
        <f t="shared" si="21"/>
        <v>2116829511.8190393</v>
      </c>
      <c r="Y13" s="31">
        <f>'[93]ABEL-CONSOLIDADO'!$E$126</f>
        <v>163022</v>
      </c>
      <c r="Z13" s="32">
        <f t="shared" si="22"/>
        <v>3.7249921438778615</v>
      </c>
      <c r="AA13" s="31">
        <f>'[94]ABEL-CONSOLIDADO'!$E$124</f>
        <v>3546135164.5700006</v>
      </c>
      <c r="AB13" s="31">
        <f t="shared" si="0"/>
        <v>2264164962.6931429</v>
      </c>
      <c r="AC13" s="31">
        <f>'[94]ABEL-CONSOLIDADO'!$E$126</f>
        <v>175921</v>
      </c>
      <c r="AD13" s="32">
        <f t="shared" si="1"/>
        <v>3.7070615716562392</v>
      </c>
      <c r="AE13" s="31">
        <f>'[95]ABEL-CONSOLIDADO'!$E$124</f>
        <v>3606696870.4800014</v>
      </c>
      <c r="AF13" s="31">
        <f t="shared" si="2"/>
        <v>2207280826.4871492</v>
      </c>
      <c r="AG13" s="31">
        <f>'[95]ABEL-CONSOLIDADO'!$E$126</f>
        <v>143050</v>
      </c>
      <c r="AH13" s="32">
        <f t="shared" si="3"/>
        <v>3.592498224133498</v>
      </c>
      <c r="AI13" s="31">
        <f>'[96]ABEL-CONSOLIDADO'!$E$124</f>
        <v>3742595004.9100008</v>
      </c>
      <c r="AJ13" s="31">
        <f t="shared" si="11"/>
        <v>1955480957.683265</v>
      </c>
      <c r="AK13" s="31">
        <f>'[96]ABEL-CONSOLIDADO'!$E$126</f>
        <v>147772</v>
      </c>
      <c r="AL13" s="32">
        <f t="shared" si="4"/>
        <v>3.4850283488033882</v>
      </c>
      <c r="AM13" s="31">
        <f>'[97]ABEL-CONSOLIDADO'!$E$124</f>
        <v>3809826902.5599999</v>
      </c>
      <c r="AN13" s="31">
        <f t="shared" si="5"/>
        <v>1801421770.5612559</v>
      </c>
      <c r="AO13" s="31">
        <f>'[97]ABEL-CONSOLIDADO'!$E$126</f>
        <v>147848</v>
      </c>
      <c r="AP13" s="32">
        <f t="shared" si="6"/>
        <v>3.4890792666613115</v>
      </c>
      <c r="AQ13" s="31">
        <f>'[98]ABEL-CONSOLIDADO'!$E$124</f>
        <v>3801436603.8000007</v>
      </c>
      <c r="AR13" s="31">
        <f t="shared" si="7"/>
        <v>1629629443.9062035</v>
      </c>
      <c r="AS13" s="31">
        <f>'[98]ABEL-CONSOLIDADO'!$E$126</f>
        <v>150497</v>
      </c>
      <c r="AT13" s="32">
        <f t="shared" si="8"/>
        <v>3.4750498601131654</v>
      </c>
      <c r="AU13" s="31">
        <f>'[99]ABEL-CONSOLIDADO'!$E$124</f>
        <v>3802381037.8899999</v>
      </c>
      <c r="AV13" s="31">
        <f t="shared" si="9"/>
        <v>1627313634.2934179</v>
      </c>
      <c r="AW13" s="31">
        <f>'[99]ABEL-CONSOLIDADO'!$E$126</f>
        <v>152606</v>
      </c>
      <c r="AX13" s="33">
        <f t="shared" si="10"/>
        <v>3.5646663029403487</v>
      </c>
      <c r="AY13" s="28"/>
    </row>
    <row r="14" spans="1:51" s="22" customFormat="1" ht="30" customHeight="1">
      <c r="A14" s="44">
        <v>10</v>
      </c>
      <c r="B14" s="45" t="s">
        <v>29</v>
      </c>
      <c r="C14" s="46">
        <f>[100]INF_ABEL_CONSOLIDADO!$G$58</f>
        <v>1259139599.8699999</v>
      </c>
      <c r="D14" s="46">
        <f t="shared" si="12"/>
        <v>710655604.39665866</v>
      </c>
      <c r="E14" s="46">
        <f>[100]INF_ABEL_CONSOLIDADO!$G$60</f>
        <v>16600</v>
      </c>
      <c r="F14" s="47">
        <f t="shared" si="23"/>
        <v>1.8770076329252638</v>
      </c>
      <c r="G14" s="46">
        <f>[101]INF_ABEL_CONSOLIDADO!$G$58</f>
        <v>1287694233.4799998</v>
      </c>
      <c r="H14" s="46">
        <f t="shared" si="13"/>
        <v>738060545.35450208</v>
      </c>
      <c r="I14" s="46">
        <f>[101]INF_ABEL_CONSOLIDADO!$G$60</f>
        <v>17251</v>
      </c>
      <c r="J14" s="47">
        <f t="shared" si="14"/>
        <v>1.8091661571580744</v>
      </c>
      <c r="K14" s="46">
        <f>[102]INF_ABEL_CONSOLIDADO!$G$58</f>
        <v>1347544001.9200003</v>
      </c>
      <c r="L14" s="46">
        <f t="shared" si="15"/>
        <v>769146119.81735182</v>
      </c>
      <c r="M14" s="46">
        <f>[102]INF_ABEL_CONSOLIDADO!$G$60</f>
        <v>18577</v>
      </c>
      <c r="N14" s="47">
        <f t="shared" si="16"/>
        <v>1.7721787713077677</v>
      </c>
      <c r="O14" s="46">
        <f>[103]INF_ABEL_CONSOLIDADO!$G$58</f>
        <v>1472748984.3329997</v>
      </c>
      <c r="P14" s="46">
        <f t="shared" si="17"/>
        <v>886130556.15703952</v>
      </c>
      <c r="Q14" s="46">
        <f>[103]INF_ABEL_CONSOLIDADO!$G$60</f>
        <v>21125</v>
      </c>
      <c r="R14" s="47">
        <f t="shared" si="18"/>
        <v>1.8084327651366434</v>
      </c>
      <c r="S14" s="46">
        <f>[104]INF_ABEL_CONSOLIDADO!$G$58</f>
        <v>1642016570.5000002</v>
      </c>
      <c r="T14" s="46">
        <f t="shared" si="19"/>
        <v>1007990.5282381831</v>
      </c>
      <c r="U14" s="46">
        <f>[104]INF_ABEL_CONSOLIDADO!$G$60</f>
        <v>24872</v>
      </c>
      <c r="V14" s="47">
        <f t="shared" si="20"/>
        <v>1.9265637178350374</v>
      </c>
      <c r="W14" s="46">
        <f>[105]INF_ABEL_CONSOLIDADO!$G$58</f>
        <v>1848419854.6099999</v>
      </c>
      <c r="X14" s="46">
        <f t="shared" si="21"/>
        <v>1161432519.390512</v>
      </c>
      <c r="Y14" s="46">
        <f>[105]INF_ABEL_CONSOLIDADO!$G$60</f>
        <v>29939</v>
      </c>
      <c r="Z14" s="47">
        <f t="shared" si="22"/>
        <v>2.0437767832593283</v>
      </c>
      <c r="AA14" s="46">
        <f>[106]INF_ABEL_CONSOLIDADO!$G$58</f>
        <v>2083187288.9799998</v>
      </c>
      <c r="AB14" s="46">
        <f t="shared" si="0"/>
        <v>1330090211.3267779</v>
      </c>
      <c r="AC14" s="46">
        <f>[106]INF_ABEL_CONSOLIDADO!$G$60</f>
        <v>36266</v>
      </c>
      <c r="AD14" s="47">
        <f t="shared" si="1"/>
        <v>2.1777239690966259</v>
      </c>
      <c r="AE14" s="46">
        <f>[107]INF_ABEL_CONSOLIDADO!$G$58</f>
        <v>2274880439.1600003</v>
      </c>
      <c r="AF14" s="46">
        <f t="shared" si="2"/>
        <v>1392215691.0403919</v>
      </c>
      <c r="AG14" s="46">
        <f>[107]INF_ABEL_CONSOLIDADO!$G$60</f>
        <v>41818</v>
      </c>
      <c r="AH14" s="47">
        <f t="shared" si="3"/>
        <v>2.2659248146658597</v>
      </c>
      <c r="AI14" s="46">
        <f>[108]INF_ABEL_CONSOLIDADO!$G$58</f>
        <v>3200326754.8699994</v>
      </c>
      <c r="AJ14" s="46">
        <f t="shared" si="11"/>
        <v>1672149409.5146034</v>
      </c>
      <c r="AK14" s="46">
        <f>[108]INF_ABEL_CONSOLIDADO!$G$60</f>
        <v>47879</v>
      </c>
      <c r="AL14" s="47">
        <f t="shared" si="4"/>
        <v>2.980079183433876</v>
      </c>
      <c r="AM14" s="46">
        <f>[109]INF_ABEL_CONSOLIDADO!$G$58</f>
        <v>2684125509.3600006</v>
      </c>
      <c r="AN14" s="46">
        <f t="shared" si="5"/>
        <v>1269150082.4436147</v>
      </c>
      <c r="AO14" s="46">
        <f>[109]INF_ABEL_CONSOLIDADO!$G$60</f>
        <v>53890</v>
      </c>
      <c r="AP14" s="47">
        <f t="shared" si="6"/>
        <v>2.4581501741015703</v>
      </c>
      <c r="AQ14" s="46">
        <f>[110]INF_ABEL_CONSOLIDADO!$G$58</f>
        <v>2842759347.8899994</v>
      </c>
      <c r="AR14" s="46">
        <f t="shared" si="7"/>
        <v>1218656212.9249365</v>
      </c>
      <c r="AS14" s="46">
        <f>[110]INF_ABEL_CONSOLIDADO!$G$60</f>
        <v>59610</v>
      </c>
      <c r="AT14" s="47">
        <f t="shared" si="8"/>
        <v>2.5986834725444425</v>
      </c>
      <c r="AU14" s="46">
        <f>[111]INF_ABEL_CONSOLIDADO!$G$58</f>
        <v>2984873369.0399995</v>
      </c>
      <c r="AV14" s="46">
        <f t="shared" si="9"/>
        <v>1277443023.6411879</v>
      </c>
      <c r="AW14" s="46">
        <f>[111]INF_ABEL_CONSOLIDADO!$G$60</f>
        <v>65147</v>
      </c>
      <c r="AX14" s="48">
        <f t="shared" si="10"/>
        <v>2.7982670361372466</v>
      </c>
      <c r="AY14" s="28"/>
    </row>
    <row r="15" spans="1:51" s="3" customFormat="1" ht="30" customHeight="1">
      <c r="A15" s="7"/>
      <c r="B15" s="8"/>
      <c r="C15" s="9">
        <f>SUM(C5:C14)</f>
        <v>54741384003.110008</v>
      </c>
      <c r="D15" s="9">
        <f t="shared" ref="D15:AP15" si="24">SUM(D5:D14)</f>
        <v>30895916019.364491</v>
      </c>
      <c r="E15" s="9">
        <f t="shared" si="24"/>
        <v>2210457</v>
      </c>
      <c r="F15" s="9">
        <f t="shared" si="24"/>
        <v>81.603338995405167</v>
      </c>
      <c r="G15" s="9">
        <f t="shared" si="24"/>
        <v>57157916718.399994</v>
      </c>
      <c r="H15" s="9">
        <f t="shared" si="24"/>
        <v>32760885377.658051</v>
      </c>
      <c r="I15" s="9">
        <f t="shared" si="24"/>
        <v>2379439</v>
      </c>
      <c r="J15" s="9">
        <f t="shared" si="24"/>
        <v>80.30490923386985</v>
      </c>
      <c r="K15" s="9">
        <f t="shared" si="24"/>
        <v>60805469980.300003</v>
      </c>
      <c r="L15" s="9">
        <f t="shared" si="24"/>
        <v>34706318481.906395</v>
      </c>
      <c r="M15" s="9">
        <f t="shared" si="24"/>
        <v>2494395</v>
      </c>
      <c r="N15" s="9">
        <f t="shared" si="24"/>
        <v>79.96634093205418</v>
      </c>
      <c r="O15" s="9">
        <f t="shared" si="24"/>
        <v>64965239945.623001</v>
      </c>
      <c r="P15" s="9">
        <f t="shared" si="24"/>
        <v>39088592025.043922</v>
      </c>
      <c r="Q15" s="9">
        <f t="shared" si="24"/>
        <v>2633877</v>
      </c>
      <c r="R15" s="9">
        <f t="shared" si="24"/>
        <v>79.772771709523184</v>
      </c>
      <c r="S15" s="9">
        <f t="shared" si="24"/>
        <v>69167318954.169998</v>
      </c>
      <c r="T15" s="9">
        <f t="shared" si="24"/>
        <v>42459987.0805218</v>
      </c>
      <c r="U15" s="9">
        <f t="shared" si="24"/>
        <v>2792548</v>
      </c>
      <c r="V15" s="9">
        <f t="shared" si="24"/>
        <v>81.153411939351443</v>
      </c>
      <c r="W15" s="9">
        <f t="shared" si="24"/>
        <v>72251845628.62999</v>
      </c>
      <c r="X15" s="9">
        <f t="shared" si="24"/>
        <v>45398583492.698708</v>
      </c>
      <c r="Y15" s="9">
        <f t="shared" si="24"/>
        <v>2939165</v>
      </c>
      <c r="Z15" s="9">
        <f t="shared" si="24"/>
        <v>79.888042900614323</v>
      </c>
      <c r="AA15" s="9">
        <f t="shared" si="24"/>
        <v>76279009406.559998</v>
      </c>
      <c r="AB15" s="9">
        <f t="shared" si="24"/>
        <v>48703236755.561226</v>
      </c>
      <c r="AC15" s="9">
        <f t="shared" si="24"/>
        <v>3087155</v>
      </c>
      <c r="AD15" s="9">
        <f t="shared" si="24"/>
        <v>79.740610938994422</v>
      </c>
      <c r="AE15" s="9">
        <f t="shared" si="24"/>
        <v>79450616457.229996</v>
      </c>
      <c r="AF15" s="9">
        <f t="shared" si="24"/>
        <v>48623388284.718483</v>
      </c>
      <c r="AG15" s="9">
        <f t="shared" si="24"/>
        <v>3161431</v>
      </c>
      <c r="AH15" s="9">
        <f t="shared" si="24"/>
        <v>79.137839629678709</v>
      </c>
      <c r="AI15" s="9">
        <f t="shared" si="24"/>
        <v>84422621031.76001</v>
      </c>
      <c r="AJ15" s="9">
        <f t="shared" si="24"/>
        <v>44110257083.316788</v>
      </c>
      <c r="AK15" s="9">
        <f t="shared" si="24"/>
        <v>3261884</v>
      </c>
      <c r="AL15" s="9">
        <f t="shared" si="24"/>
        <v>78.612627652733096</v>
      </c>
      <c r="AM15" s="9">
        <f t="shared" si="24"/>
        <v>85169229961.519989</v>
      </c>
      <c r="AN15" s="9">
        <f t="shared" si="24"/>
        <v>40271043529.963593</v>
      </c>
      <c r="AO15" s="9">
        <f t="shared" si="24"/>
        <v>3322325</v>
      </c>
      <c r="AP15" s="9">
        <f t="shared" si="24"/>
        <v>77.998870294230869</v>
      </c>
      <c r="AQ15" s="9">
        <f t="shared" ref="AQ15:AX15" si="25">SUM(AQ5:AQ14)</f>
        <v>85554995740.480011</v>
      </c>
      <c r="AR15" s="9">
        <f t="shared" si="25"/>
        <v>36676381763.827324</v>
      </c>
      <c r="AS15" s="9">
        <f t="shared" si="25"/>
        <v>3371211</v>
      </c>
      <c r="AT15" s="9">
        <f t="shared" si="25"/>
        <v>78.209347403753071</v>
      </c>
      <c r="AU15" s="9">
        <f t="shared" si="25"/>
        <v>80214440934.440002</v>
      </c>
      <c r="AV15" s="9">
        <f t="shared" si="25"/>
        <v>34329556164.700851</v>
      </c>
      <c r="AW15" s="9">
        <f t="shared" si="25"/>
        <v>3255296</v>
      </c>
      <c r="AX15" s="17">
        <f t="shared" si="25"/>
        <v>75.199647736216477</v>
      </c>
      <c r="AY15" s="20"/>
    </row>
    <row r="16" spans="1:51" s="22" customFormat="1" ht="30" customHeight="1">
      <c r="A16" s="29">
        <v>11</v>
      </c>
      <c r="B16" s="38" t="s">
        <v>30</v>
      </c>
      <c r="C16" s="39">
        <f>[112]RELATORIO!$E$100</f>
        <v>2241064686.0300002</v>
      </c>
      <c r="D16" s="31">
        <f>C16/$B$90</f>
        <v>1264851950.5756857</v>
      </c>
      <c r="E16" s="31">
        <f>[112]RELATORIO!$E$102</f>
        <v>112955</v>
      </c>
      <c r="F16" s="32">
        <f>C16/$C$46*100</f>
        <v>3.340769778022922</v>
      </c>
      <c r="G16" s="39">
        <f>[113]ITAU!$E$100</f>
        <v>2473122903.1800003</v>
      </c>
      <c r="H16" s="31">
        <f>G16/$B$91</f>
        <v>1417506106.0239584</v>
      </c>
      <c r="I16" s="31">
        <f>[113]ITAU!$E$102</f>
        <v>124614</v>
      </c>
      <c r="J16" s="32">
        <f>G16/$G$46*100</f>
        <v>3.4746527107091181</v>
      </c>
      <c r="K16" s="39">
        <f>[114]RELATORIO!$E$100</f>
        <v>2744525494.96</v>
      </c>
      <c r="L16" s="31">
        <f>K16/$B$92</f>
        <v>1566509985.7077625</v>
      </c>
      <c r="M16" s="31">
        <f>[114]RELATORIO!$E$102</f>
        <v>137403</v>
      </c>
      <c r="N16" s="32">
        <f>K16/$K$46*100</f>
        <v>3.6093736549983206</v>
      </c>
      <c r="O16" s="39">
        <f>[115]RELATORIO!$E$100</f>
        <v>2977463282.6099992</v>
      </c>
      <c r="P16" s="31">
        <f>O16/$B$93</f>
        <v>1791494153.1949453</v>
      </c>
      <c r="Q16" s="31">
        <f>[115]RELATORIO!$E$102</f>
        <v>147854</v>
      </c>
      <c r="R16" s="32">
        <f>O16/$O$46*100</f>
        <v>3.6561167004992763</v>
      </c>
      <c r="S16" s="39">
        <f>[116]RELATORIO!$E$100</f>
        <v>3065613907.1699982</v>
      </c>
      <c r="T16" s="31">
        <f>S16/$B$94</f>
        <v>1881899.2677532218</v>
      </c>
      <c r="U16" s="31">
        <f>[116]RELATORIO!$E$102</f>
        <v>152521</v>
      </c>
      <c r="V16" s="32">
        <f>S16/$S$46*100</f>
        <v>3.5968580540242643</v>
      </c>
      <c r="W16" s="39">
        <f>[117]RELATORIO!$E$100</f>
        <v>3005999662.809999</v>
      </c>
      <c r="X16" s="31">
        <f>W16/$B$95</f>
        <v>1888783954.0119379</v>
      </c>
      <c r="Y16" s="31">
        <f>[117]RELATORIO!$E$102</f>
        <v>151166</v>
      </c>
      <c r="Z16" s="32">
        <f>W16/$W$46*100</f>
        <v>3.3236995945559609</v>
      </c>
      <c r="AA16" s="39">
        <f>[118]RELATORIO!$E$100</f>
        <v>2929186821.809999</v>
      </c>
      <c r="AB16" s="31">
        <f>AA16/$B$96</f>
        <v>1870250812.0354993</v>
      </c>
      <c r="AC16" s="31">
        <f>[118]RELATORIO!$E$102</f>
        <v>149116</v>
      </c>
      <c r="AD16" s="32">
        <f>AA16/$AA$46*100</f>
        <v>3.0621156271268153</v>
      </c>
      <c r="AE16" s="39">
        <f>[119]RELATORIO!$E$100</f>
        <v>2857510505.2799993</v>
      </c>
      <c r="AF16" s="31">
        <f>AE16/$B$97</f>
        <v>1748782438.9718478</v>
      </c>
      <c r="AG16" s="31">
        <f>[119]RELATORIO!$E$102</f>
        <v>146904</v>
      </c>
      <c r="AH16" s="32">
        <f>AE16/$AE$46*100</f>
        <v>2.8462612147094588</v>
      </c>
      <c r="AI16" s="39">
        <f>[120]RELATORIO!$E$100</f>
        <v>2774419761.0199995</v>
      </c>
      <c r="AJ16" s="31">
        <f>AI16/$B$98</f>
        <v>1449615842.5309575</v>
      </c>
      <c r="AK16" s="31">
        <f>[120]RELATORIO!$E$102</f>
        <v>144341</v>
      </c>
      <c r="AL16" s="32">
        <f>AI16/$AI$46*100</f>
        <v>2.5834832531839842</v>
      </c>
      <c r="AM16" s="39">
        <f>[121]RELATORIO!$E$100</f>
        <v>2701672607.04</v>
      </c>
      <c r="AN16" s="31">
        <f>AM16/$B$99</f>
        <v>1277446974.8167763</v>
      </c>
      <c r="AO16" s="31">
        <f>[121]RELATORIO!$E$102</f>
        <v>142201</v>
      </c>
      <c r="AP16" s="32">
        <f>AM16/$AM$46*100</f>
        <v>2.4742199894163361</v>
      </c>
      <c r="AQ16" s="39">
        <f>[122]RELATORIO!$E$100</f>
        <v>2641845177.3699999</v>
      </c>
      <c r="AR16" s="31">
        <f>AQ16/$B$100</f>
        <v>1132526761.8510737</v>
      </c>
      <c r="AS16" s="31">
        <f>[122]RELATORIO!$E$102</f>
        <v>140525</v>
      </c>
      <c r="AT16" s="32">
        <f>AQ16/$AQ$46*100</f>
        <v>2.4150195494206543</v>
      </c>
      <c r="AU16" s="39">
        <f>[123]RELATORIO!$E$100</f>
        <v>2569521040.3899994</v>
      </c>
      <c r="AV16" s="31">
        <f t="shared" ref="AV16:AV25" si="26">AU16/$B$101</f>
        <v>1099683745.7801933</v>
      </c>
      <c r="AW16" s="31">
        <f>[123]RELATORIO!$E$102</f>
        <v>138895</v>
      </c>
      <c r="AX16" s="33">
        <f t="shared" ref="AX16:AX25" si="27">AU16/$AU$46*100</f>
        <v>2.4088814287947318</v>
      </c>
      <c r="AY16" s="28"/>
    </row>
    <row r="17" spans="1:51" s="22" customFormat="1" ht="30" customHeight="1">
      <c r="A17" s="29">
        <v>12</v>
      </c>
      <c r="B17" s="38" t="s">
        <v>31</v>
      </c>
      <c r="C17" s="31">
        <f>[124]Dezembro_2007!$J$33</f>
        <v>455533493.11999995</v>
      </c>
      <c r="D17" s="31">
        <f>C17/$B$90</f>
        <v>257102095.6767129</v>
      </c>
      <c r="E17" s="49">
        <f>[124]Dezembro_2007!$J$38</f>
        <v>6129</v>
      </c>
      <c r="F17" s="32">
        <f>C17/$C$46*100</f>
        <v>0.67906675616240397</v>
      </c>
      <c r="G17" s="31">
        <f>[125]Fevereiro_2008!$J$33</f>
        <v>603530799.31000018</v>
      </c>
      <c r="H17" s="31">
        <f>G17/$B$91</f>
        <v>345922393.13922179</v>
      </c>
      <c r="I17" s="49">
        <f>[125]Fevereiro_2008!$J$38</f>
        <v>10983</v>
      </c>
      <c r="J17" s="32">
        <f>G17/$G$46*100</f>
        <v>0.84794003772415971</v>
      </c>
      <c r="K17" s="31">
        <f>[126]Março_2008!$J$33</f>
        <v>739248598.59000015</v>
      </c>
      <c r="L17" s="31">
        <f>K17/$B$92</f>
        <v>421945547.14041102</v>
      </c>
      <c r="M17" s="49">
        <f>[126]Março_2008!$J$38</f>
        <v>15391</v>
      </c>
      <c r="N17" s="32">
        <f>K17/$K$46*100</f>
        <v>0.97219880855363061</v>
      </c>
      <c r="O17" s="31">
        <f>[127]Abril_2008!$J$33</f>
        <v>900094721.63</v>
      </c>
      <c r="P17" s="31">
        <f>O17/$B$93</f>
        <v>541573238.04452467</v>
      </c>
      <c r="Q17" s="49">
        <f>[127]Abril_2008!$J$38</f>
        <v>20473</v>
      </c>
      <c r="R17" s="32">
        <f>O17/$O$46*100</f>
        <v>1.1052533755841918</v>
      </c>
      <c r="S17" s="31">
        <f>[128]Maio_2008!$J$35</f>
        <v>712880136.32011783</v>
      </c>
      <c r="T17" s="31">
        <f>S17/$B$94</f>
        <v>437618.25434015825</v>
      </c>
      <c r="U17" s="49">
        <f>[128]Maio_2008!$J$38</f>
        <v>28467</v>
      </c>
      <c r="V17" s="32">
        <f>S17/$S$46*100</f>
        <v>0.83641604504723488</v>
      </c>
      <c r="W17" s="31">
        <f>[129]Junho_2008!$J$33</f>
        <v>1377281812.4200003</v>
      </c>
      <c r="X17" s="31">
        <f>W17/$B$95</f>
        <v>865398562.62645328</v>
      </c>
      <c r="Y17" s="49">
        <f>[129]Junho_2008!$J$38</f>
        <v>35490</v>
      </c>
      <c r="Z17" s="32">
        <f>W17/$W$46*100</f>
        <v>1.5228448153751493</v>
      </c>
      <c r="AA17" s="31">
        <f>[130]Julho_2008!$J$33</f>
        <v>1641686503.96</v>
      </c>
      <c r="AB17" s="31">
        <f>AA17/$B$96</f>
        <v>1048197231.4902312</v>
      </c>
      <c r="AC17" s="49">
        <f>[130]Julho_2008!$J$38</f>
        <v>44460</v>
      </c>
      <c r="AD17" s="32">
        <f>AA17/$AA$46*100</f>
        <v>1.716187530678841</v>
      </c>
      <c r="AE17" s="31">
        <f>[131]Agosto_2008!$J$33</f>
        <v>1862858428.7500005</v>
      </c>
      <c r="AF17" s="31">
        <f>AE17/$B$97</f>
        <v>1140060237.9130971</v>
      </c>
      <c r="AG17" s="49">
        <f>[131]Agosto_2008!$J$38</f>
        <v>52064</v>
      </c>
      <c r="AH17" s="32">
        <f>AE17/$AE$46*100</f>
        <v>1.8555248298995088</v>
      </c>
      <c r="AI17" s="31">
        <f>[132]Setembro_2008!$J$33</f>
        <v>2088333278.8600001</v>
      </c>
      <c r="AJ17" s="31">
        <f>AI17/$B$98</f>
        <v>1091140226.1664665</v>
      </c>
      <c r="AK17" s="49">
        <f>[132]Setembro_2008!$J$38</f>
        <v>59983</v>
      </c>
      <c r="AL17" s="32">
        <f>AI17/$AI$46*100</f>
        <v>1.9446134751498831</v>
      </c>
      <c r="AM17" s="31">
        <f>[133]Setembro_2008!$J$33</f>
        <v>2233334309.2699995</v>
      </c>
      <c r="AN17" s="31">
        <f>AM17/$B$99</f>
        <v>1055999957.0996262</v>
      </c>
      <c r="AO17" s="49" t="e">
        <f>[133]!_xlnm.vl74</f>
        <v>#NAME?</v>
      </c>
      <c r="AP17" s="32">
        <f>AM17/$AM$46*100</f>
        <v>2.0453108850591928</v>
      </c>
      <c r="AQ17" s="31">
        <f>[134]Novembro_2008!$J$33</f>
        <v>2250961446.2600002</v>
      </c>
      <c r="AR17" s="31">
        <f>AQ17/$B$100</f>
        <v>964959680.31037009</v>
      </c>
      <c r="AS17" s="49" t="e">
        <f>[134]!_xlnm.vl74</f>
        <v>#NAME?</v>
      </c>
      <c r="AT17" s="32">
        <f>AQ17/$AQ$46*100</f>
        <v>2.0576966221471893</v>
      </c>
      <c r="AU17" s="31">
        <f>[135]Dezembro_2008!$J$33</f>
        <v>2266109008.4200006</v>
      </c>
      <c r="AV17" s="31">
        <f t="shared" si="26"/>
        <v>969831810.50243974</v>
      </c>
      <c r="AW17" s="49" t="e">
        <f>[135]!_xlnm.vl74</f>
        <v>#NAME?</v>
      </c>
      <c r="AX17" s="33">
        <f t="shared" si="27"/>
        <v>2.124437908933742</v>
      </c>
      <c r="AY17" s="28"/>
    </row>
    <row r="18" spans="1:51" s="22" customFormat="1" ht="30" customHeight="1">
      <c r="A18" s="29">
        <v>13</v>
      </c>
      <c r="B18" s="38" t="s">
        <v>32</v>
      </c>
      <c r="C18" s="31"/>
      <c r="D18" s="31"/>
      <c r="E18" s="31"/>
      <c r="F18" s="32"/>
      <c r="G18" s="31"/>
      <c r="H18" s="31"/>
      <c r="I18" s="31"/>
      <c r="J18" s="32"/>
      <c r="K18" s="31"/>
      <c r="L18" s="31"/>
      <c r="M18" s="31"/>
      <c r="N18" s="32"/>
      <c r="O18" s="31"/>
      <c r="P18" s="31"/>
      <c r="Q18" s="31"/>
      <c r="R18" s="32"/>
      <c r="S18" s="31"/>
      <c r="T18" s="31"/>
      <c r="U18" s="31"/>
      <c r="V18" s="32"/>
      <c r="W18" s="31"/>
      <c r="X18" s="31"/>
      <c r="Y18" s="31"/>
      <c r="Z18" s="32"/>
      <c r="AA18" s="31"/>
      <c r="AB18" s="31"/>
      <c r="AC18" s="31"/>
      <c r="AD18" s="32"/>
      <c r="AE18" s="31"/>
      <c r="AF18" s="31"/>
      <c r="AG18" s="31"/>
      <c r="AH18" s="32"/>
      <c r="AI18" s="36"/>
      <c r="AJ18" s="36"/>
      <c r="AK18" s="36"/>
      <c r="AL18" s="37"/>
      <c r="AM18" s="36"/>
      <c r="AN18" s="36"/>
      <c r="AO18" s="36"/>
      <c r="AP18" s="37"/>
      <c r="AQ18" s="36"/>
      <c r="AR18" s="36"/>
      <c r="AS18" s="36"/>
      <c r="AT18" s="37"/>
      <c r="AU18" s="31">
        <f>[136]Plan1!$D$95</f>
        <v>2252964065.2199998</v>
      </c>
      <c r="AV18" s="31">
        <f t="shared" si="26"/>
        <v>964206139.35632968</v>
      </c>
      <c r="AW18" s="31">
        <f>[136]Plan1!$D$96</f>
        <v>48992</v>
      </c>
      <c r="AX18" s="33">
        <f t="shared" si="27"/>
        <v>2.1121147525714044</v>
      </c>
      <c r="AY18" s="28"/>
    </row>
    <row r="19" spans="1:51" s="22" customFormat="1" ht="30" customHeight="1">
      <c r="A19" s="29">
        <v>14</v>
      </c>
      <c r="B19" s="38" t="s">
        <v>33</v>
      </c>
      <c r="C19" s="31">
        <f>[137]Abel1!$D$111</f>
        <v>1308191772.3599997</v>
      </c>
      <c r="D19" s="31">
        <f>C19/$B$90</f>
        <v>738340542.0250591</v>
      </c>
      <c r="E19" s="31">
        <f>[137]Abel1!$D$112</f>
        <v>61570</v>
      </c>
      <c r="F19" s="32">
        <f>C19/$C$46*100</f>
        <v>1.9501300271258772</v>
      </c>
      <c r="G19" s="31">
        <f>[138]Abel1!$D$111</f>
        <v>1412100442.3999996</v>
      </c>
      <c r="H19" s="31">
        <f>G19/$B$91</f>
        <v>809365760.53189647</v>
      </c>
      <c r="I19" s="31">
        <f>[138]Abel1!$D$112</f>
        <v>66827</v>
      </c>
      <c r="J19" s="32">
        <f>G19/$G$46*100</f>
        <v>1.9839526065080444</v>
      </c>
      <c r="K19" s="31">
        <f>[139]Abel1!$D$111</f>
        <v>1538166004.76</v>
      </c>
      <c r="L19" s="31">
        <f>K19/$B$92</f>
        <v>877948632.85388124</v>
      </c>
      <c r="M19" s="31">
        <f>[139]Abel1!$D$112</f>
        <v>72884</v>
      </c>
      <c r="N19" s="32">
        <f>K19/$K$46*100</f>
        <v>2.0228691133640502</v>
      </c>
      <c r="O19" s="31">
        <f>[140]Abel1!$D$111</f>
        <v>1692993054.1099997</v>
      </c>
      <c r="P19" s="31">
        <f>O19/$B$93</f>
        <v>1018648046.997593</v>
      </c>
      <c r="Q19" s="31">
        <f>[140]Abel1!$D$112</f>
        <v>80313</v>
      </c>
      <c r="R19" s="32">
        <f>O19/$O$46*100</f>
        <v>2.0788770814110515</v>
      </c>
      <c r="S19" s="31">
        <f>[141]Abel1!$D$111</f>
        <v>1832114966.3000004</v>
      </c>
      <c r="T19" s="31">
        <f>S19/$B$94</f>
        <v>1124686.9038060163</v>
      </c>
      <c r="U19" s="31">
        <f>[141]Abel1!$D$112</f>
        <v>87111</v>
      </c>
      <c r="V19" s="32">
        <f>S19/$S$46*100</f>
        <v>2.1496045072805448</v>
      </c>
      <c r="W19" s="31">
        <f>[142]Abel1!$D$111</f>
        <v>1975636103.8700004</v>
      </c>
      <c r="X19" s="31">
        <f t="shared" ref="X19:X25" si="28">W19/$B$95</f>
        <v>1241367328.8532834</v>
      </c>
      <c r="Y19" s="31">
        <f>[142]Abel1!$D$112</f>
        <v>94112</v>
      </c>
      <c r="Z19" s="32">
        <f t="shared" ref="Z19:Z25" si="29">W19/$W$46*100</f>
        <v>2.1844383413152375</v>
      </c>
      <c r="AA19" s="31">
        <f>[143]Abel1!$D$111</f>
        <v>2108322705.3699999</v>
      </c>
      <c r="AB19" s="31">
        <f t="shared" ref="AB19:AB25" si="30">AA19/$B$96</f>
        <v>1346138874.5817902</v>
      </c>
      <c r="AC19" s="31">
        <f>[143]Abel1!$D$112</f>
        <v>100949</v>
      </c>
      <c r="AD19" s="32">
        <f t="shared" ref="AD19:AD25" si="31">AA19/$AA$46*100</f>
        <v>2.2040000504817656</v>
      </c>
      <c r="AE19" s="31">
        <f>[144]Abel1!$D$111</f>
        <v>2197933575.8400006</v>
      </c>
      <c r="AF19" s="31">
        <f t="shared" ref="AF19:AF25" si="32">AE19/$B$97</f>
        <v>1345124587.417381</v>
      </c>
      <c r="AG19" s="31">
        <f>[144]Abel1!$D$112</f>
        <v>105241</v>
      </c>
      <c r="AH19" s="32">
        <f t="shared" ref="AH19:AH25" si="33">AE19/$AE$46*100</f>
        <v>2.1892808715354373</v>
      </c>
      <c r="AI19" s="31">
        <f>[145]Abel1!$D$111</f>
        <v>2270237909.8799992</v>
      </c>
      <c r="AJ19" s="31">
        <f t="shared" ref="AJ19:AJ25" si="34">AI19/$B$98</f>
        <v>1186184184.0639527</v>
      </c>
      <c r="AK19" s="31">
        <f>[145]Abel1!$D$112</f>
        <v>109405</v>
      </c>
      <c r="AL19" s="32">
        <f t="shared" ref="AL19:AL25" si="35">AI19/$AI$46*100</f>
        <v>2.11399936783975</v>
      </c>
      <c r="AM19" s="31">
        <f>[146]Abel1!$D$111</f>
        <v>2352901819.8100004</v>
      </c>
      <c r="AN19" s="31">
        <f t="shared" ref="AN19:AN25" si="36">AM19/$B$99</f>
        <v>1112535732.0960803</v>
      </c>
      <c r="AO19" s="31">
        <f>[146]Abel1!$D$112</f>
        <v>114759</v>
      </c>
      <c r="AP19" s="32">
        <f t="shared" ref="AP19:AP25" si="37">AM19/$AM$46*100</f>
        <v>2.1548120599580054</v>
      </c>
      <c r="AQ19" s="31">
        <f>[147]Abel1!$D$111</f>
        <v>2310782009.5400009</v>
      </c>
      <c r="AR19" s="31">
        <f t="shared" ref="AR19:AR25" si="38">AQ19/$B$100</f>
        <v>990604025.18112099</v>
      </c>
      <c r="AS19" s="31">
        <f>[147]Abel1!$D$112</f>
        <v>113294</v>
      </c>
      <c r="AT19" s="32">
        <f t="shared" ref="AT19:AT25" si="39">AQ19/$AQ$46*100</f>
        <v>2.1123810642999943</v>
      </c>
      <c r="AU19" s="31">
        <f>[148]Abel1!$D$111</f>
        <v>2235912638.1999998</v>
      </c>
      <c r="AV19" s="31">
        <f t="shared" si="26"/>
        <v>956908601.47222459</v>
      </c>
      <c r="AW19" s="31">
        <f>[148]Abel1!$D$112</f>
        <v>113304</v>
      </c>
      <c r="AX19" s="33">
        <f t="shared" si="27"/>
        <v>2.0961293353526789</v>
      </c>
      <c r="AY19" s="43"/>
    </row>
    <row r="20" spans="1:51" s="22" customFormat="1" ht="30" customHeight="1">
      <c r="A20" s="29">
        <v>15</v>
      </c>
      <c r="B20" s="38" t="s">
        <v>34</v>
      </c>
      <c r="C20" s="36"/>
      <c r="D20" s="31"/>
      <c r="E20" s="36"/>
      <c r="F20" s="32"/>
      <c r="G20" s="36"/>
      <c r="H20" s="31"/>
      <c r="I20" s="36"/>
      <c r="J20" s="32"/>
      <c r="K20" s="36"/>
      <c r="L20" s="36"/>
      <c r="M20" s="36"/>
      <c r="N20" s="37"/>
      <c r="O20" s="36"/>
      <c r="P20" s="36"/>
      <c r="Q20" s="36"/>
      <c r="R20" s="37"/>
      <c r="S20" s="31">
        <f>[149]abel!$D$7</f>
        <v>661819428.85000002</v>
      </c>
      <c r="T20" s="31">
        <f>S20/$B$94</f>
        <v>406273.43698588095</v>
      </c>
      <c r="U20" s="31">
        <v>16818</v>
      </c>
      <c r="V20" s="32">
        <f>S20/$S$46*100</f>
        <v>0.77650696240687966</v>
      </c>
      <c r="W20" s="31">
        <f>[150]abel!$D$17</f>
        <v>874420885.11000025</v>
      </c>
      <c r="X20" s="31">
        <f t="shared" si="28"/>
        <v>549431910.21677685</v>
      </c>
      <c r="Y20" s="31">
        <f>[150]abel!$D$18</f>
        <v>16818</v>
      </c>
      <c r="Z20" s="32">
        <f t="shared" si="29"/>
        <v>0.96683721467705031</v>
      </c>
      <c r="AA20" s="36">
        <f>W20</f>
        <v>874420885.11000025</v>
      </c>
      <c r="AB20" s="36">
        <f t="shared" si="30"/>
        <v>558307294.79632246</v>
      </c>
      <c r="AC20" s="36">
        <f>Y20</f>
        <v>16818</v>
      </c>
      <c r="AD20" s="37">
        <f t="shared" si="31"/>
        <v>0.91410279366437552</v>
      </c>
      <c r="AE20" s="31">
        <f>[151]abel!$D$17</f>
        <v>1426411801.3499999</v>
      </c>
      <c r="AF20" s="31">
        <f t="shared" si="32"/>
        <v>872957038.76988983</v>
      </c>
      <c r="AG20" s="31">
        <f>AC20</f>
        <v>16818</v>
      </c>
      <c r="AH20" s="32">
        <f t="shared" si="33"/>
        <v>1.420796381635187</v>
      </c>
      <c r="AI20" s="31">
        <f>[152]abel!$D$17</f>
        <v>1700882730.7799997</v>
      </c>
      <c r="AJ20" s="31">
        <f t="shared" si="34"/>
        <v>888699895.90887702</v>
      </c>
      <c r="AK20" s="36">
        <v>16818</v>
      </c>
      <c r="AL20" s="32">
        <f t="shared" si="35"/>
        <v>1.5838274050443142</v>
      </c>
      <c r="AM20" s="31">
        <f>[153]abel!$D$17</f>
        <v>1767115583.8400002</v>
      </c>
      <c r="AN20" s="31">
        <f t="shared" si="36"/>
        <v>835555148.63114107</v>
      </c>
      <c r="AO20" s="36">
        <v>16818</v>
      </c>
      <c r="AP20" s="32">
        <f t="shared" si="37"/>
        <v>1.6183429071875379</v>
      </c>
      <c r="AQ20" s="31">
        <f>[154]abel!$D$17</f>
        <v>1767605451.7600002</v>
      </c>
      <c r="AR20" s="31">
        <f t="shared" si="38"/>
        <v>757750868.84725869</v>
      </c>
      <c r="AS20" s="36">
        <v>16818</v>
      </c>
      <c r="AT20" s="32">
        <f t="shared" si="39"/>
        <v>1.615840988044799</v>
      </c>
      <c r="AU20" s="31">
        <f>[155]abel!$D$17</f>
        <v>1762523238.8400004</v>
      </c>
      <c r="AV20" s="31">
        <f t="shared" si="26"/>
        <v>754311066.86638725</v>
      </c>
      <c r="AW20" s="36">
        <f>$AS$19</f>
        <v>113294</v>
      </c>
      <c r="AX20" s="33">
        <f t="shared" si="27"/>
        <v>1.652334980380783</v>
      </c>
      <c r="AY20" s="43" t="s">
        <v>27</v>
      </c>
    </row>
    <row r="21" spans="1:51" s="22" customFormat="1" ht="30" customHeight="1">
      <c r="A21" s="29">
        <v>16</v>
      </c>
      <c r="B21" s="38" t="s">
        <v>35</v>
      </c>
      <c r="C21" s="31"/>
      <c r="D21" s="31"/>
      <c r="E21" s="31"/>
      <c r="F21" s="32"/>
      <c r="G21" s="31"/>
      <c r="H21" s="31"/>
      <c r="I21" s="31"/>
      <c r="J21" s="32"/>
      <c r="K21" s="31"/>
      <c r="L21" s="31"/>
      <c r="M21" s="31"/>
      <c r="N21" s="32"/>
      <c r="O21" s="31"/>
      <c r="P21" s="31"/>
      <c r="Q21" s="31"/>
      <c r="R21" s="32"/>
      <c r="S21" s="50"/>
      <c r="T21" s="31"/>
      <c r="U21" s="31"/>
      <c r="V21" s="32"/>
      <c r="W21" s="31">
        <f>[156]RELATORIO!$E$110</f>
        <v>511718596.29999995</v>
      </c>
      <c r="X21" s="31">
        <f t="shared" si="28"/>
        <v>321532262.83380455</v>
      </c>
      <c r="Y21" s="31">
        <f>[156]RELATORIO!$E$112</f>
        <v>21495</v>
      </c>
      <c r="Z21" s="32">
        <f t="shared" si="29"/>
        <v>0.56580142442835601</v>
      </c>
      <c r="AA21" s="31">
        <f>[157]RELATORIO!$E$110</f>
        <v>827778428.22000003</v>
      </c>
      <c r="AB21" s="31">
        <f t="shared" si="30"/>
        <v>528526642.97024643</v>
      </c>
      <c r="AC21" s="31">
        <f>[157]RELATORIO!$E$112</f>
        <v>34856</v>
      </c>
      <c r="AD21" s="32">
        <f t="shared" si="31"/>
        <v>0.86534366534008356</v>
      </c>
      <c r="AE21" s="31">
        <f>[158]RELATORIO!$E$110</f>
        <v>1081070037.1599998</v>
      </c>
      <c r="AF21" s="31">
        <f t="shared" si="32"/>
        <v>661609569.86536098</v>
      </c>
      <c r="AG21" s="31">
        <f>[158]RELATORIO!$E$112</f>
        <v>45011</v>
      </c>
      <c r="AH21" s="32">
        <f t="shared" si="33"/>
        <v>1.0768141399541464</v>
      </c>
      <c r="AI21" s="31">
        <f>[159]RELATORIO!$E$110</f>
        <v>1357667457.26</v>
      </c>
      <c r="AJ21" s="31">
        <f t="shared" si="34"/>
        <v>709372201.92277551</v>
      </c>
      <c r="AK21" s="31">
        <f>[159]RELATORIO!$E$112</f>
        <v>55659</v>
      </c>
      <c r="AL21" s="32">
        <f t="shared" si="35"/>
        <v>1.2642323229180634</v>
      </c>
      <c r="AM21" s="31">
        <f>[160]RELATORIO!$E$110</f>
        <v>1525623955.3599999</v>
      </c>
      <c r="AN21" s="31">
        <f t="shared" si="36"/>
        <v>721369310.77592313</v>
      </c>
      <c r="AO21" s="31">
        <f>[160]RELATORIO!$E$112</f>
        <v>62598</v>
      </c>
      <c r="AP21" s="32">
        <f t="shared" si="37"/>
        <v>1.397182351720917</v>
      </c>
      <c r="AQ21" s="31">
        <f>[161]RELATORIO!$E$110</f>
        <v>1608936342.0899999</v>
      </c>
      <c r="AR21" s="31">
        <f t="shared" si="38"/>
        <v>689731359.40755343</v>
      </c>
      <c r="AS21" s="31">
        <f>[161]RELATORIO!$E$112</f>
        <v>66924</v>
      </c>
      <c r="AT21" s="32">
        <f t="shared" si="39"/>
        <v>1.4707950160004828</v>
      </c>
      <c r="AU21" s="31">
        <f>[162]RELATORIO!$E$110</f>
        <v>1731388843.2499998</v>
      </c>
      <c r="AV21" s="31">
        <f t="shared" si="26"/>
        <v>740986408.99169731</v>
      </c>
      <c r="AW21" s="31">
        <f>[162]RELATORIO!$E$112</f>
        <v>73431</v>
      </c>
      <c r="AX21" s="33">
        <f t="shared" si="27"/>
        <v>1.6231470242774468</v>
      </c>
      <c r="AY21" s="43"/>
    </row>
    <row r="22" spans="1:51" s="22" customFormat="1" ht="30" customHeight="1">
      <c r="A22" s="29">
        <v>17</v>
      </c>
      <c r="B22" s="38" t="s">
        <v>36</v>
      </c>
      <c r="C22" s="31">
        <f>[163]Plan1!$D$115</f>
        <v>1469406640.5099998</v>
      </c>
      <c r="D22" s="31">
        <f>C22/$B$90</f>
        <v>829329856.93080473</v>
      </c>
      <c r="E22" s="31">
        <f>[163]Plan1!$D$116</f>
        <v>728</v>
      </c>
      <c r="F22" s="32">
        <f>C22/$C$46*100</f>
        <v>2.1904540849903364</v>
      </c>
      <c r="G22" s="31">
        <f>[164]Plan1!$D$115</f>
        <v>1488255547.01</v>
      </c>
      <c r="H22" s="31">
        <f>G22/$B$91</f>
        <v>853015158.48569953</v>
      </c>
      <c r="I22" s="31">
        <f>[164]Plan1!$D$116</f>
        <v>751</v>
      </c>
      <c r="J22" s="32">
        <f>G22/$G$46*100</f>
        <v>2.0909479120495642</v>
      </c>
      <c r="K22" s="31">
        <f>[165]Plan1!$D$115</f>
        <v>1555793095.3999999</v>
      </c>
      <c r="L22" s="31">
        <f>K22/$B$92</f>
        <v>888009757.64840174</v>
      </c>
      <c r="M22" s="31">
        <f>[165]Plan1!$D$116</f>
        <v>764</v>
      </c>
      <c r="N22" s="32">
        <f>K22/$K$46*100</f>
        <v>2.04605080968537</v>
      </c>
      <c r="O22" s="31">
        <f>[166]Plan1!$D$115</f>
        <v>1551493123.6099999</v>
      </c>
      <c r="P22" s="31">
        <f>O22/$B$93</f>
        <v>933509701.32972324</v>
      </c>
      <c r="Q22" s="31">
        <f>[166]Plan1!$D$116</f>
        <v>787</v>
      </c>
      <c r="R22" s="32">
        <f>O22/$O$46*100</f>
        <v>1.9051250616826867</v>
      </c>
      <c r="S22" s="31">
        <f>[167]Plan1!$D$115</f>
        <v>1520703618.0399997</v>
      </c>
      <c r="T22" s="31">
        <f>S22/$B$94</f>
        <v>933519.71641497838</v>
      </c>
      <c r="U22" s="31">
        <f>[167]Plan1!$D$116</f>
        <v>782</v>
      </c>
      <c r="V22" s="32">
        <f>S22/$S$46*100</f>
        <v>1.7842282890021142</v>
      </c>
      <c r="W22" s="31">
        <f>[168]Plan1!$D$115</f>
        <v>1478105379.3700001</v>
      </c>
      <c r="X22" s="31">
        <f t="shared" si="28"/>
        <v>928749845.66132593</v>
      </c>
      <c r="Y22" s="31">
        <f>[168]Plan1!$D$116</f>
        <v>997</v>
      </c>
      <c r="Z22" s="32">
        <f t="shared" si="29"/>
        <v>1.6343242851632938</v>
      </c>
      <c r="AA22" s="31">
        <f>[169]Plan1!$D$115</f>
        <v>1484399086.9999998</v>
      </c>
      <c r="AB22" s="31">
        <f t="shared" si="30"/>
        <v>947771093.73004711</v>
      </c>
      <c r="AC22" s="31">
        <f>[169]Plan1!$D$116</f>
        <v>1210</v>
      </c>
      <c r="AD22" s="32">
        <f t="shared" si="31"/>
        <v>1.5517622868406831</v>
      </c>
      <c r="AE22" s="31">
        <f>[170]Plan1!$D$115</f>
        <v>1521966588.5200002</v>
      </c>
      <c r="AF22" s="31">
        <f t="shared" si="32"/>
        <v>931436100.6854347</v>
      </c>
      <c r="AG22" s="31">
        <f>[170]Plan1!$D$116</f>
        <v>1101</v>
      </c>
      <c r="AH22" s="32">
        <f t="shared" si="33"/>
        <v>1.515974993961982</v>
      </c>
      <c r="AI22" s="36">
        <v>1521966588.5200002</v>
      </c>
      <c r="AJ22" s="36">
        <f t="shared" si="34"/>
        <v>795217403.47980583</v>
      </c>
      <c r="AK22" s="36">
        <v>1101</v>
      </c>
      <c r="AL22" s="37">
        <f t="shared" si="35"/>
        <v>1.4172243323055818</v>
      </c>
      <c r="AM22" s="36">
        <v>1521966588.5200002</v>
      </c>
      <c r="AN22" s="36">
        <f t="shared" si="36"/>
        <v>719639977.54976606</v>
      </c>
      <c r="AO22" s="36">
        <v>1101</v>
      </c>
      <c r="AP22" s="37">
        <f t="shared" si="37"/>
        <v>1.3938328969718199</v>
      </c>
      <c r="AQ22" s="36">
        <v>1521966588.5200002</v>
      </c>
      <c r="AR22" s="36">
        <f t="shared" si="38"/>
        <v>652448488.24109411</v>
      </c>
      <c r="AS22" s="36">
        <v>1101</v>
      </c>
      <c r="AT22" s="37">
        <f t="shared" si="39"/>
        <v>1.3912923801613388</v>
      </c>
      <c r="AU22" s="36">
        <v>1521966588.5200002</v>
      </c>
      <c r="AV22" s="36">
        <f t="shared" si="26"/>
        <v>651359491.7914921</v>
      </c>
      <c r="AW22" s="36">
        <v>1101</v>
      </c>
      <c r="AX22" s="51">
        <f t="shared" si="27"/>
        <v>1.4268172911226458</v>
      </c>
      <c r="AY22" s="43" t="s">
        <v>27</v>
      </c>
    </row>
    <row r="23" spans="1:51" s="22" customFormat="1" ht="30" customHeight="1">
      <c r="A23" s="29">
        <v>18</v>
      </c>
      <c r="B23" s="38" t="s">
        <v>37</v>
      </c>
      <c r="C23" s="31">
        <f>'[171]DADOS ESTATISTICOS'!$E$111</f>
        <v>1281221671.3299999</v>
      </c>
      <c r="D23" s="31">
        <f>C23/$B$90</f>
        <v>723118676.67343938</v>
      </c>
      <c r="E23" s="31">
        <f>'[171]DADOS ESTATISTICOS'!$E$112</f>
        <v>12263</v>
      </c>
      <c r="F23" s="32">
        <f>C23/$C$46*100</f>
        <v>1.9099255212082635</v>
      </c>
      <c r="G23" s="31">
        <f>'[172]DADOS ESTATISTICOS'!$E$111</f>
        <v>1282863442.5900002</v>
      </c>
      <c r="H23" s="31">
        <f>G23/$B$91</f>
        <v>735291707.79503655</v>
      </c>
      <c r="I23" s="31">
        <f>'[172]DADOS ESTATISTICOS'!$E$112</f>
        <v>12385</v>
      </c>
      <c r="J23" s="32">
        <f>G23/$G$46*100</f>
        <v>1.8023790619274962</v>
      </c>
      <c r="K23" s="31">
        <f>'[173]DADOS ESTATISTICOS'!$E$111</f>
        <v>1288531701.3600001</v>
      </c>
      <c r="L23" s="31">
        <f>K23/$B$92</f>
        <v>735463299.86301374</v>
      </c>
      <c r="M23" s="31">
        <f>'[173]DADOS ESTATISTICOS'!$E$112</f>
        <v>12560</v>
      </c>
      <c r="N23" s="32">
        <f>K23/$K$46*100</f>
        <v>1.6945706589571075</v>
      </c>
      <c r="O23" s="31">
        <f>'[174]DADOS ESTATISTICOS'!$E$111</f>
        <v>1304992241.4000001</v>
      </c>
      <c r="P23" s="31">
        <f>O23/$B$93</f>
        <v>785193887.72563183</v>
      </c>
      <c r="Q23" s="31">
        <f>'[174]DADOS ESTATISTICOS'!$E$112</f>
        <v>12806</v>
      </c>
      <c r="R23" s="32">
        <f>O23/$O$46*100</f>
        <v>1.6024392158489216</v>
      </c>
      <c r="S23" s="31">
        <f>'[175]DADOS ESTATISTICOS'!$E$111</f>
        <v>1344364772.3700001</v>
      </c>
      <c r="T23" s="31">
        <f>S23/$B$94</f>
        <v>825269.96462246787</v>
      </c>
      <c r="U23" s="31">
        <f>'[175]DADOS ESTATISTICOS'!$E$112</f>
        <v>13097</v>
      </c>
      <c r="V23" s="32">
        <f>S23/$S$46*100</f>
        <v>1.577331459691016</v>
      </c>
      <c r="W23" s="31">
        <f>'[176]DADOS ESTATISTICOS'!$E$111</f>
        <v>1346874187.3700004</v>
      </c>
      <c r="X23" s="31">
        <f t="shared" si="28"/>
        <v>846292294.92302883</v>
      </c>
      <c r="Y23" s="31">
        <f>'[176]DADOS ESTATISTICOS'!$E$112</f>
        <v>13308</v>
      </c>
      <c r="Z23" s="32">
        <f t="shared" si="29"/>
        <v>1.4892234506423205</v>
      </c>
      <c r="AA23" s="31">
        <f>'[177]DADOS ESTATISTICOS'!$E$111</f>
        <v>1388610900.7299998</v>
      </c>
      <c r="AB23" s="31">
        <f t="shared" si="30"/>
        <v>886611480.4814198</v>
      </c>
      <c r="AC23" s="31">
        <f>'[177]DADOS ESTATISTICOS'!$E$112</f>
        <v>13576</v>
      </c>
      <c r="AD23" s="32">
        <f t="shared" si="31"/>
        <v>1.4516271572246564</v>
      </c>
      <c r="AE23" s="31">
        <f>[178]INF_ABEL!$D$111</f>
        <v>1456407166.0599999</v>
      </c>
      <c r="AF23" s="31">
        <f t="shared" si="32"/>
        <v>891314055.11627913</v>
      </c>
      <c r="AG23" s="31">
        <f>[178]INF_ABEL!$D$112</f>
        <v>13682</v>
      </c>
      <c r="AH23" s="32">
        <f t="shared" si="33"/>
        <v>1.4506736622391905</v>
      </c>
      <c r="AI23" s="31">
        <f>[179]INF_ABEL!$D$112</f>
        <v>1493282397.4600003</v>
      </c>
      <c r="AJ23" s="31">
        <f t="shared" si="34"/>
        <v>780230104.73901474</v>
      </c>
      <c r="AK23" s="31">
        <f>[179]INF_ABEL!$D$113</f>
        <v>13864</v>
      </c>
      <c r="AL23" s="32">
        <f t="shared" si="35"/>
        <v>1.3905141969915964</v>
      </c>
      <c r="AM23" s="31">
        <f>[180]INF_ABEL!$D$112</f>
        <v>1501187091.6300001</v>
      </c>
      <c r="AN23" s="31">
        <f t="shared" si="36"/>
        <v>709814691.77266073</v>
      </c>
      <c r="AO23" s="31">
        <f>[180]INF_ABEL!$D$113</f>
        <v>13908</v>
      </c>
      <c r="AP23" s="32">
        <f t="shared" si="37"/>
        <v>1.3748028167018118</v>
      </c>
      <c r="AQ23" s="31">
        <f>[181]INF_ABEL!$D$112</f>
        <v>1487924265.6100001</v>
      </c>
      <c r="AR23" s="31">
        <f t="shared" si="38"/>
        <v>637854960.17919159</v>
      </c>
      <c r="AS23" s="31">
        <f>[181]INF_ABEL!$D$113</f>
        <v>13969</v>
      </c>
      <c r="AT23" s="32">
        <f t="shared" si="39"/>
        <v>1.3601728898749379</v>
      </c>
      <c r="AU23" s="31">
        <f>[182]INF_ABEL!$D$112</f>
        <v>1500970853.02</v>
      </c>
      <c r="AV23" s="31">
        <f t="shared" si="26"/>
        <v>642373899.26388776</v>
      </c>
      <c r="AW23" s="31">
        <f>[182]INF_ABEL!$D$113</f>
        <v>14197</v>
      </c>
      <c r="AX23" s="33">
        <f t="shared" si="27"/>
        <v>1.4071341530845309</v>
      </c>
      <c r="AY23" s="28"/>
    </row>
    <row r="24" spans="1:51" s="22" customFormat="1" ht="30" customHeight="1">
      <c r="A24" s="29">
        <v>19</v>
      </c>
      <c r="B24" s="38" t="s">
        <v>38</v>
      </c>
      <c r="C24" s="31">
        <f>'[183]PAG 2'!$F$94</f>
        <v>67271772.820000008</v>
      </c>
      <c r="D24" s="31">
        <f>C24/$B$90</f>
        <v>37968039.744892202</v>
      </c>
      <c r="E24" s="52">
        <f>'[183]PAG 2'!$F$96</f>
        <v>2873</v>
      </c>
      <c r="F24" s="32">
        <f>C24/$C$46*100</f>
        <v>0.10028247151991015</v>
      </c>
      <c r="G24" s="31">
        <f>'[184]PAG 2'!$F$94</f>
        <v>70047544.74000001</v>
      </c>
      <c r="H24" s="31">
        <f>G24/$B$91</f>
        <v>40148761.815784954</v>
      </c>
      <c r="I24" s="52">
        <f>'[184]PAG 2'!$F$96</f>
        <v>1934</v>
      </c>
      <c r="J24" s="32">
        <f>G24/$G$46*100</f>
        <v>9.841439375956669E-2</v>
      </c>
      <c r="K24" s="31">
        <f>'[185]PAG 2'!$F$94</f>
        <v>102045469.28999999</v>
      </c>
      <c r="L24" s="31">
        <f>K24/$B$92</f>
        <v>58245130.873287663</v>
      </c>
      <c r="M24" s="52">
        <f>'[185]PAG 2'!$F$96</f>
        <v>4274</v>
      </c>
      <c r="N24" s="32">
        <f>K24/$K$46*100</f>
        <v>0.13420178793880516</v>
      </c>
      <c r="O24" s="31">
        <f>'[186]PAG 2'!$F$94</f>
        <v>200333844.34999999</v>
      </c>
      <c r="P24" s="31">
        <f>O24/$B$93</f>
        <v>120537812.48495789</v>
      </c>
      <c r="Q24" s="52">
        <f>'[186]PAG 2'!$F$96</f>
        <v>8079</v>
      </c>
      <c r="R24" s="32">
        <f>O24/$O$46*100</f>
        <v>0.24599595174896946</v>
      </c>
      <c r="S24" s="36">
        <f>'[186]PAG 2'!$F$94</f>
        <v>200333844.34999999</v>
      </c>
      <c r="T24" s="36">
        <f>S24/$B$94</f>
        <v>122979.64662369552</v>
      </c>
      <c r="U24" s="53">
        <f>'[186]PAG 2'!$F$96</f>
        <v>8079</v>
      </c>
      <c r="V24" s="37">
        <f>S24/$S$46*100</f>
        <v>0.23504995193903352</v>
      </c>
      <c r="W24" s="31">
        <f>'[187]PAG 2'!$F$94</f>
        <v>446813781.44999999</v>
      </c>
      <c r="X24" s="31">
        <f t="shared" si="28"/>
        <v>280750098.3034873</v>
      </c>
      <c r="Y24" s="52">
        <f>'[187]PAG 2'!$F$96</f>
        <v>18048</v>
      </c>
      <c r="Z24" s="32">
        <f t="shared" si="29"/>
        <v>0.49403690979098025</v>
      </c>
      <c r="AA24" s="31">
        <f>'[188]PAG 2'!$F$94</f>
        <v>594096140.19000006</v>
      </c>
      <c r="AB24" s="31">
        <f t="shared" si="30"/>
        <v>379323292.16575152</v>
      </c>
      <c r="AC24" s="52">
        <f>'[188]PAG 2'!$F$96</f>
        <v>24351</v>
      </c>
      <c r="AD24" s="32">
        <f t="shared" si="31"/>
        <v>0.62105669100593952</v>
      </c>
      <c r="AE24" s="31">
        <f>'[189]PAG 2'!$F$94</f>
        <v>777145530.11000001</v>
      </c>
      <c r="AF24" s="31">
        <f t="shared" si="32"/>
        <v>475609259.55324364</v>
      </c>
      <c r="AG24" s="52">
        <f>'[189]PAG 2'!$F$96</f>
        <v>32179</v>
      </c>
      <c r="AH24" s="32">
        <f t="shared" si="33"/>
        <v>0.77408610622769047</v>
      </c>
      <c r="AI24" s="31">
        <f>'[190]PAG 2'!$F$94</f>
        <v>1063369066.0299999</v>
      </c>
      <c r="AJ24" s="31">
        <f t="shared" si="34"/>
        <v>555603253.05919838</v>
      </c>
      <c r="AK24" s="52">
        <f>'[190]PAG 2'!$F$96</f>
        <v>43869</v>
      </c>
      <c r="AL24" s="32">
        <f t="shared" si="35"/>
        <v>0.99018764667117565</v>
      </c>
      <c r="AM24" s="31">
        <f>'[191]PAG 2'!$F$94</f>
        <v>1195730815.9199998</v>
      </c>
      <c r="AN24" s="31">
        <f t="shared" si="36"/>
        <v>565384091.88141274</v>
      </c>
      <c r="AO24" s="52">
        <f>'[191]PAG 2'!$F$96</f>
        <v>50423</v>
      </c>
      <c r="AP24" s="32">
        <f t="shared" si="37"/>
        <v>1.095062769264169</v>
      </c>
      <c r="AQ24" s="36">
        <v>1195730815.9199998</v>
      </c>
      <c r="AR24" s="36">
        <f t="shared" si="38"/>
        <v>512595196.94774288</v>
      </c>
      <c r="AS24" s="53">
        <v>50423</v>
      </c>
      <c r="AT24" s="37">
        <f t="shared" si="39"/>
        <v>1.0930668159616663</v>
      </c>
      <c r="AU24" s="31">
        <f>'[192]PAG 2'!$F$94</f>
        <v>1397580371.5700002</v>
      </c>
      <c r="AV24" s="31">
        <f t="shared" si="26"/>
        <v>598125640.49045634</v>
      </c>
      <c r="AW24" s="52">
        <f>'[192]PAG 2'!$F$96</f>
        <v>61500</v>
      </c>
      <c r="AX24" s="33">
        <f t="shared" si="27"/>
        <v>1.3102073691570293</v>
      </c>
      <c r="AY24" s="28"/>
    </row>
    <row r="25" spans="1:51" s="22" customFormat="1" ht="30" customHeight="1">
      <c r="A25" s="29">
        <v>20</v>
      </c>
      <c r="B25" s="38" t="s">
        <v>39</v>
      </c>
      <c r="C25" s="31">
        <f>'[193]012008dados'!$E$111</f>
        <v>721416849.23000002</v>
      </c>
      <c r="D25" s="31">
        <f>C25/$B$90</f>
        <v>407166073.61440343</v>
      </c>
      <c r="E25" s="31">
        <f>'[193]012008dados'!$E$112</f>
        <v>13744</v>
      </c>
      <c r="F25" s="32">
        <f>C25/$C$46*100</f>
        <v>1.0754208132802823</v>
      </c>
      <c r="G25" s="31">
        <f>'[194]022008dados'!$E$111</f>
        <v>763573944.74000001</v>
      </c>
      <c r="H25" s="31">
        <f>G25/$B$91</f>
        <v>437653433.10597813</v>
      </c>
      <c r="I25" s="31">
        <f>'[194]022008dados'!$E$112</f>
        <v>14934</v>
      </c>
      <c r="J25" s="32">
        <f>G25/$G$46*100</f>
        <v>1.0727951585043374</v>
      </c>
      <c r="K25" s="31">
        <f>'[195]032008dados'!$E$111</f>
        <v>818221225.57000005</v>
      </c>
      <c r="L25" s="31">
        <f>K25/$B$92</f>
        <v>467021247.47146124</v>
      </c>
      <c r="M25" s="31">
        <f>'[195]032008dados'!$E$112</f>
        <v>16089</v>
      </c>
      <c r="N25" s="32">
        <f>K25/$K$46*100</f>
        <v>1.076057096556809</v>
      </c>
      <c r="O25" s="31">
        <f>'[196]042008dados'!$E$111</f>
        <v>896090649.09000003</v>
      </c>
      <c r="P25" s="31">
        <f>O25/$B$93</f>
        <v>539164048.79061377</v>
      </c>
      <c r="Q25" s="31">
        <f>'[196]042008dados'!$E$112</f>
        <v>17842</v>
      </c>
      <c r="R25" s="32">
        <f>O25/$O$46*100</f>
        <v>1.1003366545052096</v>
      </c>
      <c r="S25" s="31">
        <f>'[197]052008dados'!$E$111</f>
        <v>968047783.44000006</v>
      </c>
      <c r="T25" s="31">
        <f>S25/$B$94</f>
        <v>594258.92169429106</v>
      </c>
      <c r="U25" s="31">
        <f>'[197]052008dados'!$E$112</f>
        <v>19373</v>
      </c>
      <c r="V25" s="32">
        <f>S25/$S$46*100</f>
        <v>1.1358020194267786</v>
      </c>
      <c r="W25" s="31">
        <f>'[198]062008dados'!$E$111</f>
        <v>1035827822.95</v>
      </c>
      <c r="X25" s="31">
        <f t="shared" si="28"/>
        <v>650850030.12880933</v>
      </c>
      <c r="Y25" s="31">
        <f>'[198]062008dados'!$E$112</f>
        <v>20552</v>
      </c>
      <c r="Z25" s="32">
        <f t="shared" si="29"/>
        <v>1.1453030277290177</v>
      </c>
      <c r="AA25" s="31">
        <f>'[199]072008dados'!$E$111</f>
        <v>1115012319.9100001</v>
      </c>
      <c r="AB25" s="31">
        <f t="shared" si="30"/>
        <v>711922053.32013798</v>
      </c>
      <c r="AC25" s="31">
        <f>'[199]072008dados'!$E$112</f>
        <v>22171</v>
      </c>
      <c r="AD25" s="32">
        <f t="shared" si="31"/>
        <v>1.1656124572913305</v>
      </c>
      <c r="AE25" s="31">
        <f>'[200]082008dados'!$E$111</f>
        <v>1155116295.0100002</v>
      </c>
      <c r="AF25" s="31">
        <f t="shared" si="32"/>
        <v>706925517.14198303</v>
      </c>
      <c r="AG25" s="31">
        <f>'[200]082008dados'!$E$112</f>
        <v>23514</v>
      </c>
      <c r="AH25" s="32">
        <f t="shared" si="33"/>
        <v>1.1505688965590328</v>
      </c>
      <c r="AI25" s="31">
        <f>'[201]092008dados'!$E$111</f>
        <v>1199806036.8400002</v>
      </c>
      <c r="AJ25" s="31">
        <f t="shared" si="34"/>
        <v>626890661.39296734</v>
      </c>
      <c r="AK25" s="31">
        <f>'[201]092008dados'!$E$112</f>
        <v>24958</v>
      </c>
      <c r="AL25" s="32">
        <f t="shared" si="35"/>
        <v>1.1172349789296512</v>
      </c>
      <c r="AM25" s="31">
        <f>'[202]102008dados'!$E$111</f>
        <v>1228012744.8799996</v>
      </c>
      <c r="AN25" s="31">
        <f t="shared" si="36"/>
        <v>580648136.97101498</v>
      </c>
      <c r="AO25" s="31">
        <f>'[202]102008dados'!$E$112</f>
        <v>25877</v>
      </c>
      <c r="AP25" s="32">
        <f t="shared" si="37"/>
        <v>1.124626896953667</v>
      </c>
      <c r="AQ25" s="31">
        <f>'[203]112008dados'!$E$111</f>
        <v>1216692632.9999998</v>
      </c>
      <c r="AR25" s="31">
        <f t="shared" si="38"/>
        <v>521581271.91666299</v>
      </c>
      <c r="AS25" s="31">
        <f>'[203]112008dados'!$E$112</f>
        <v>26029</v>
      </c>
      <c r="AT25" s="32">
        <f t="shared" si="39"/>
        <v>1.1122288768095983</v>
      </c>
      <c r="AU25" s="31">
        <f>'[204]122008dados'!$E$111</f>
        <v>1202467706.74</v>
      </c>
      <c r="AV25" s="31">
        <f t="shared" si="26"/>
        <v>514622830.9252761</v>
      </c>
      <c r="AW25" s="31">
        <f>'[204]122008dados'!$E$112</f>
        <v>26076</v>
      </c>
      <c r="AX25" s="33">
        <f t="shared" si="27"/>
        <v>1.1272926284548859</v>
      </c>
      <c r="AY25" s="43"/>
    </row>
    <row r="26" spans="1:51" ht="30" customHeight="1">
      <c r="A26" s="10"/>
      <c r="B26" s="11"/>
      <c r="C26" s="12">
        <f>SUM(C16:C25)</f>
        <v>7544106885.3999996</v>
      </c>
      <c r="D26" s="12">
        <f t="shared" ref="D26:AX26" si="40">SUM(D16:D25)</f>
        <v>4257877235.2409973</v>
      </c>
      <c r="E26" s="12">
        <f t="shared" si="40"/>
        <v>210262</v>
      </c>
      <c r="F26" s="12">
        <f t="shared" si="40"/>
        <v>11.246049452309993</v>
      </c>
      <c r="G26" s="12">
        <f t="shared" si="40"/>
        <v>8093494623.9700003</v>
      </c>
      <c r="H26" s="12">
        <f t="shared" si="40"/>
        <v>4638903320.8975763</v>
      </c>
      <c r="I26" s="12">
        <f t="shared" si="40"/>
        <v>232428</v>
      </c>
      <c r="J26" s="12">
        <f t="shared" si="40"/>
        <v>11.371081881182288</v>
      </c>
      <c r="K26" s="12">
        <f t="shared" si="40"/>
        <v>8786531589.9300003</v>
      </c>
      <c r="L26" s="12">
        <f t="shared" si="40"/>
        <v>5015143601.558219</v>
      </c>
      <c r="M26" s="12">
        <f t="shared" si="40"/>
        <v>259365</v>
      </c>
      <c r="N26" s="12">
        <f t="shared" si="40"/>
        <v>11.555321930054093</v>
      </c>
      <c r="O26" s="12">
        <f t="shared" si="40"/>
        <v>9523460916.7999992</v>
      </c>
      <c r="P26" s="12">
        <f t="shared" si="40"/>
        <v>5730120888.5679903</v>
      </c>
      <c r="Q26" s="12">
        <f t="shared" si="40"/>
        <v>288154</v>
      </c>
      <c r="R26" s="12">
        <f t="shared" si="40"/>
        <v>11.694144041280307</v>
      </c>
      <c r="S26" s="12">
        <f t="shared" si="40"/>
        <v>10305878456.840118</v>
      </c>
      <c r="T26" s="12">
        <f t="shared" si="40"/>
        <v>6326506.1122407094</v>
      </c>
      <c r="U26" s="12">
        <f t="shared" si="40"/>
        <v>326248</v>
      </c>
      <c r="V26" s="12">
        <f t="shared" si="40"/>
        <v>12.091797288817865</v>
      </c>
      <c r="W26" s="12">
        <f t="shared" si="40"/>
        <v>12052678231.650003</v>
      </c>
      <c r="X26" s="12">
        <f t="shared" si="40"/>
        <v>7573156287.5589066</v>
      </c>
      <c r="Y26" s="12">
        <f t="shared" si="40"/>
        <v>371986</v>
      </c>
      <c r="Z26" s="12">
        <f t="shared" si="40"/>
        <v>13.326509063677365</v>
      </c>
      <c r="AA26" s="12">
        <f t="shared" si="40"/>
        <v>12963513792.299999</v>
      </c>
      <c r="AB26" s="12">
        <f t="shared" si="40"/>
        <v>8277048775.5714464</v>
      </c>
      <c r="AC26" s="12">
        <f t="shared" si="40"/>
        <v>407507</v>
      </c>
      <c r="AD26" s="12">
        <f t="shared" si="40"/>
        <v>13.551808259654489</v>
      </c>
      <c r="AE26" s="12">
        <f t="shared" si="40"/>
        <v>14336419928.080002</v>
      </c>
      <c r="AF26" s="12">
        <f t="shared" si="40"/>
        <v>8773818805.4345169</v>
      </c>
      <c r="AG26" s="12">
        <f t="shared" si="40"/>
        <v>436514</v>
      </c>
      <c r="AH26" s="12">
        <f t="shared" si="40"/>
        <v>14.279981096721633</v>
      </c>
      <c r="AI26" s="12">
        <f t="shared" si="40"/>
        <v>15469965226.65</v>
      </c>
      <c r="AJ26" s="12">
        <f t="shared" si="40"/>
        <v>8082953773.2640152</v>
      </c>
      <c r="AK26" s="12">
        <f t="shared" si="40"/>
        <v>469998</v>
      </c>
      <c r="AL26" s="12">
        <f t="shared" si="40"/>
        <v>14.405316979034</v>
      </c>
      <c r="AM26" s="12">
        <f t="shared" si="40"/>
        <v>16027545516.27</v>
      </c>
      <c r="AN26" s="12">
        <f t="shared" si="40"/>
        <v>7578394021.5944014</v>
      </c>
      <c r="AO26" s="12" t="e">
        <f t="shared" si="40"/>
        <v>#NAME?</v>
      </c>
      <c r="AP26" s="12">
        <f t="shared" si="40"/>
        <v>14.678193573233454</v>
      </c>
      <c r="AQ26" s="12">
        <f t="shared" si="40"/>
        <v>16002444730.070002</v>
      </c>
      <c r="AR26" s="12">
        <f t="shared" si="40"/>
        <v>6860052612.8820677</v>
      </c>
      <c r="AS26" s="12" t="e">
        <f t="shared" si="40"/>
        <v>#NAME?</v>
      </c>
      <c r="AT26" s="12">
        <f t="shared" si="40"/>
        <v>14.628494202720663</v>
      </c>
      <c r="AU26" s="12">
        <f t="shared" si="40"/>
        <v>18441404354.170002</v>
      </c>
      <c r="AV26" s="12">
        <f t="shared" si="40"/>
        <v>7892409635.4403839</v>
      </c>
      <c r="AW26" s="12" t="e">
        <f t="shared" si="40"/>
        <v>#NAME?</v>
      </c>
      <c r="AX26" s="18">
        <f t="shared" si="40"/>
        <v>17.288496872129876</v>
      </c>
      <c r="AY26" s="21"/>
    </row>
    <row r="27" spans="1:51" s="22" customFormat="1" ht="30" customHeight="1">
      <c r="A27" s="29">
        <v>21</v>
      </c>
      <c r="B27" s="38" t="s">
        <v>40</v>
      </c>
      <c r="C27" s="31">
        <f>[205]Plan1!$D$110</f>
        <v>518765580.19999999</v>
      </c>
      <c r="D27" s="31">
        <f>C27/$B$90</f>
        <v>292790145.72750872</v>
      </c>
      <c r="E27" s="31">
        <f>[205]Plan1!$D$111</f>
        <v>118276</v>
      </c>
      <c r="F27" s="32">
        <f>C27/$C$46*100</f>
        <v>0.773327241740976</v>
      </c>
      <c r="G27" s="31">
        <f>[206]Plan1!$D$110</f>
        <v>560678126.76999998</v>
      </c>
      <c r="H27" s="31">
        <f>G27/$B$91</f>
        <v>321360765.04270077</v>
      </c>
      <c r="I27" s="31">
        <f>[206]Plan1!$D$111</f>
        <v>122365</v>
      </c>
      <c r="J27" s="32">
        <f>G27/$G$46*100</f>
        <v>0.78773350508043827</v>
      </c>
      <c r="K27" s="31">
        <f>[207]Plan1!$D$110</f>
        <v>609323866.47000003</v>
      </c>
      <c r="L27" s="31">
        <f>K27/$B$92</f>
        <v>347787595.01712328</v>
      </c>
      <c r="M27" s="31">
        <f>[207]Plan1!$D$111</f>
        <v>126831</v>
      </c>
      <c r="N27" s="32">
        <f>K27/$K$46*100</f>
        <v>0.80133251268288408</v>
      </c>
      <c r="O27" s="31">
        <f>[208]Plan1!$D$110</f>
        <v>670880983.50999999</v>
      </c>
      <c r="P27" s="31">
        <f>O27/$B$93</f>
        <v>403658834.84356201</v>
      </c>
      <c r="Q27" s="31">
        <f>[208]Plan1!$D$111</f>
        <v>132399</v>
      </c>
      <c r="R27" s="32">
        <f>O27/$O$46*100</f>
        <v>0.82379493382305835</v>
      </c>
      <c r="S27" s="31">
        <f>[209]Plan1!$D$110</f>
        <v>735989048.01999998</v>
      </c>
      <c r="T27" s="31">
        <f>S27/$B$94</f>
        <v>451804.2038182934</v>
      </c>
      <c r="U27" s="31">
        <f>[209]Plan1!$D$111</f>
        <v>138742</v>
      </c>
      <c r="V27" s="32">
        <f>S27/$S$46*100</f>
        <v>0.86352952955128581</v>
      </c>
      <c r="W27" s="31">
        <f>[210]Plan1!$D$110</f>
        <v>835846700.57000005</v>
      </c>
      <c r="X27" s="31">
        <f t="shared" ref="X27:X45" si="41">W27/$B$95</f>
        <v>525194282.48193532</v>
      </c>
      <c r="Y27" s="31">
        <f>[210]Plan1!$D$111</f>
        <v>149267</v>
      </c>
      <c r="Z27" s="32">
        <f t="shared" ref="Z27:Z45" si="42">W27/$W$46*100</f>
        <v>0.92418617811769288</v>
      </c>
      <c r="AA27" s="36">
        <f>W27</f>
        <v>835846700.57000005</v>
      </c>
      <c r="AB27" s="36">
        <f t="shared" ref="AB27:AB45" si="43">AA27/$B$96</f>
        <v>533678138.53275448</v>
      </c>
      <c r="AC27" s="36">
        <f>Y27</f>
        <v>149267</v>
      </c>
      <c r="AD27" s="37">
        <f t="shared" ref="AD27:AD45" si="44">AA27/$AA$46*100</f>
        <v>0.87377808224476694</v>
      </c>
      <c r="AE27" s="31">
        <f>[211]Plan1!$D$110</f>
        <v>1056275057.6999999</v>
      </c>
      <c r="AF27" s="31">
        <f t="shared" ref="AF27:AF45" si="45">AE27/$B$97</f>
        <v>646435163.83108938</v>
      </c>
      <c r="AG27" s="36">
        <f>AC27</f>
        <v>149267</v>
      </c>
      <c r="AH27" s="32">
        <f t="shared" ref="AH27:AH45" si="46">AE27/$AE$46*100</f>
        <v>1.0521167720088271</v>
      </c>
      <c r="AI27" s="31">
        <f>[212]Plan1!$D$110</f>
        <v>1131007639.23</v>
      </c>
      <c r="AJ27" s="31">
        <f t="shared" ref="AJ27:AJ45" si="47">AI27/$B$98</f>
        <v>590943956.96222377</v>
      </c>
      <c r="AK27" s="31">
        <f>[212]Plan1!$D$111</f>
        <v>179470</v>
      </c>
      <c r="AL27" s="32">
        <f t="shared" ref="AL27:AL45" si="48">AI27/$AI$46*100</f>
        <v>1.0531713103498168</v>
      </c>
      <c r="AM27" s="31">
        <f>[213]Plan1!$D$110</f>
        <v>1105854273.74</v>
      </c>
      <c r="AN27" s="31">
        <f t="shared" ref="AN27:AN45" si="49">AM27/$B$99</f>
        <v>522887263.57747412</v>
      </c>
      <c r="AO27" s="31">
        <f>[213]Plan1!$D$111</f>
        <v>176362</v>
      </c>
      <c r="AP27" s="32">
        <f t="shared" ref="AP27:AP45" si="50">AM27/$AM$46*100</f>
        <v>1.0127528932777468</v>
      </c>
      <c r="AQ27" s="31">
        <f>[214]Plan1!$D$110</f>
        <v>1084685116.0599999</v>
      </c>
      <c r="AR27" s="31">
        <f t="shared" ref="AR27:AR45" si="51">AQ27/$B$100</f>
        <v>464991261.65387744</v>
      </c>
      <c r="AS27" s="31">
        <f>[214]Plan1!$D$111</f>
        <v>173534</v>
      </c>
      <c r="AT27" s="32">
        <f t="shared" ref="AT27:AT45" si="52">AQ27/$AQ$46*100</f>
        <v>0.99155536542769773</v>
      </c>
      <c r="AU27" s="31">
        <f>[215]Plan1!$D$110</f>
        <v>1076947259.5799999</v>
      </c>
      <c r="AV27" s="31">
        <f t="shared" ref="AV27:AV45" si="53">AU27/$B$101</f>
        <v>460903560.54951638</v>
      </c>
      <c r="AW27" s="31">
        <f>[215]Plan1!$D$111</f>
        <v>171368</v>
      </c>
      <c r="AX27" s="33">
        <f t="shared" ref="AX27:AX45" si="54">AU27/$AU$46*100</f>
        <v>1.0096193853310071</v>
      </c>
      <c r="AY27" s="43"/>
    </row>
    <row r="28" spans="1:51" s="22" customFormat="1" ht="30" customHeight="1">
      <c r="A28" s="29">
        <v>22</v>
      </c>
      <c r="B28" s="38" t="s">
        <v>41</v>
      </c>
      <c r="C28" s="31">
        <f>'[216]dados estatísticos'!$D$112</f>
        <v>217616295.20999998</v>
      </c>
      <c r="D28" s="31">
        <f>C28/$B$90</f>
        <v>122822155.55367422</v>
      </c>
      <c r="E28" s="31">
        <f>'[216]dados estatísticos'!$D$113</f>
        <v>4227</v>
      </c>
      <c r="F28" s="32">
        <f>C28/$C$46*100</f>
        <v>0.32440203389700384</v>
      </c>
      <c r="G28" s="31">
        <f>'[217]dados estatísticos'!$D$112</f>
        <v>247533027.26000002</v>
      </c>
      <c r="H28" s="31">
        <f>G28/$B$91</f>
        <v>141877129.16833842</v>
      </c>
      <c r="I28" s="31">
        <f>'[217]dados estatísticos'!$D$113</f>
        <v>4891</v>
      </c>
      <c r="J28" s="32">
        <f>G28/$G$46*100</f>
        <v>0.3477753988906363</v>
      </c>
      <c r="K28" s="31">
        <f>'[218]dados estatísticos'!$D$112</f>
        <v>284870027.26999998</v>
      </c>
      <c r="L28" s="31">
        <f>K28/$B$92</f>
        <v>162597047.52853879</v>
      </c>
      <c r="M28" s="31">
        <f>'[218]dados estatísticos'!$D$113</f>
        <v>5626</v>
      </c>
      <c r="N28" s="32">
        <f>K28/$K$46*100</f>
        <v>0.3746375733856962</v>
      </c>
      <c r="O28" s="31">
        <f>'[219]dados estatísticos'!$D$112</f>
        <v>348290732.46999991</v>
      </c>
      <c r="P28" s="31">
        <f>O28/$B$93</f>
        <v>209561210.87244278</v>
      </c>
      <c r="Q28" s="31">
        <f>'[219]dados estatísticos'!$D$113</f>
        <v>6873</v>
      </c>
      <c r="R28" s="32">
        <f>O28/$O$46*100</f>
        <v>0.42767666390715542</v>
      </c>
      <c r="S28" s="31">
        <f>'[220]dados estatísticos'!$D$112</f>
        <v>411462229.7899999</v>
      </c>
      <c r="T28" s="31">
        <f>S28/$B$94</f>
        <v>252585.77642111719</v>
      </c>
      <c r="U28" s="31">
        <f>'[220]dados estatísticos'!$D$113</f>
        <v>8110</v>
      </c>
      <c r="V28" s="32">
        <f>S28/$S$46*100</f>
        <v>0.48276504477146293</v>
      </c>
      <c r="W28" s="31">
        <f>'[221]dados estatísticos'!$D$112</f>
        <v>493015360.94000012</v>
      </c>
      <c r="X28" s="31">
        <f t="shared" si="41"/>
        <v>309780308.47628033</v>
      </c>
      <c r="Y28" s="31">
        <f>'[221]dados estatísticos'!$D$113</f>
        <v>9733</v>
      </c>
      <c r="Z28" s="32">
        <f t="shared" si="42"/>
        <v>0.54512147008504597</v>
      </c>
      <c r="AA28" s="31">
        <f>'[222]dados estatísticos'!$D$112</f>
        <v>578870340.07000005</v>
      </c>
      <c r="AB28" s="31">
        <f t="shared" si="43"/>
        <v>369601800.58102417</v>
      </c>
      <c r="AC28" s="31">
        <f>'[222]dados estatísticos'!$D$113</f>
        <v>11552</v>
      </c>
      <c r="AD28" s="32">
        <f t="shared" si="44"/>
        <v>0.60513993208301353</v>
      </c>
      <c r="AE28" s="31">
        <f>'[223]dados estatísticos'!$D$112</f>
        <v>656582119.33000004</v>
      </c>
      <c r="AF28" s="31">
        <f t="shared" si="45"/>
        <v>401825042.42962062</v>
      </c>
      <c r="AG28" s="31">
        <f>'[223]dados estatísticos'!$D$113</f>
        <v>13253</v>
      </c>
      <c r="AH28" s="32">
        <f t="shared" si="46"/>
        <v>0.65399732286814394</v>
      </c>
      <c r="AI28" s="31">
        <f>'[224]dados estatísticos'!$D$112</f>
        <v>753532607.72000003</v>
      </c>
      <c r="AJ28" s="31">
        <f t="shared" si="47"/>
        <v>393715767.65766239</v>
      </c>
      <c r="AK28" s="31">
        <f>'[224]dados estatísticos'!$D$113</f>
        <v>15273</v>
      </c>
      <c r="AL28" s="32">
        <f t="shared" si="48"/>
        <v>0.70167423838452236</v>
      </c>
      <c r="AM28" s="31">
        <f>'[225]dados estatísticos'!$D$112</f>
        <v>862571859.55999994</v>
      </c>
      <c r="AN28" s="31">
        <f t="shared" si="49"/>
        <v>407854678.50016546</v>
      </c>
      <c r="AO28" s="31">
        <f>'[225]dados estatísticos'!$D$113</f>
        <v>17626</v>
      </c>
      <c r="AP28" s="32">
        <f t="shared" si="50"/>
        <v>0.78995231756435191</v>
      </c>
      <c r="AQ28" s="36">
        <v>862571859.55999994</v>
      </c>
      <c r="AR28" s="36">
        <f t="shared" si="51"/>
        <v>369774021.33150423</v>
      </c>
      <c r="AS28" s="36">
        <v>17626</v>
      </c>
      <c r="AT28" s="37">
        <f t="shared" si="52"/>
        <v>0.78851248417642505</v>
      </c>
      <c r="AU28" s="31">
        <f>'[226]dados estatísticos'!$D$112</f>
        <v>1048517438.4099997</v>
      </c>
      <c r="AV28" s="31">
        <f t="shared" si="53"/>
        <v>448736385.52169812</v>
      </c>
      <c r="AW28" s="31">
        <f>'[226]dados estatísticos'!$D$113</f>
        <v>23773</v>
      </c>
      <c r="AX28" s="33">
        <f t="shared" si="54"/>
        <v>0.98296692085849424</v>
      </c>
      <c r="AY28" s="43"/>
    </row>
    <row r="29" spans="1:51" s="22" customFormat="1" ht="30" customHeight="1">
      <c r="A29" s="29">
        <v>23</v>
      </c>
      <c r="B29" s="38" t="s">
        <v>42</v>
      </c>
      <c r="C29" s="31"/>
      <c r="D29" s="31"/>
      <c r="E29" s="31"/>
      <c r="F29" s="32"/>
      <c r="G29" s="31"/>
      <c r="H29" s="31"/>
      <c r="I29" s="31"/>
      <c r="J29" s="32"/>
      <c r="K29" s="31"/>
      <c r="L29" s="31"/>
      <c r="M29" s="31"/>
      <c r="N29" s="32"/>
      <c r="O29" s="31"/>
      <c r="P29" s="31"/>
      <c r="Q29" s="31"/>
      <c r="R29" s="32"/>
      <c r="S29" s="50"/>
      <c r="T29" s="31"/>
      <c r="U29" s="31"/>
      <c r="V29" s="32"/>
      <c r="W29" s="31">
        <f>[227]GERAL!$E$110</f>
        <v>66359706.510000005</v>
      </c>
      <c r="X29" s="31">
        <f t="shared" si="41"/>
        <v>41696328.312912352</v>
      </c>
      <c r="Y29" s="31">
        <f>[227]GERAL!$E$113</f>
        <v>2561</v>
      </c>
      <c r="Z29" s="32">
        <f t="shared" si="42"/>
        <v>7.3373171777391694E-2</v>
      </c>
      <c r="AA29" s="31">
        <f>[228]GERAL!$E$110</f>
        <v>270079502.89999998</v>
      </c>
      <c r="AB29" s="31">
        <f t="shared" si="43"/>
        <v>172442537.92619076</v>
      </c>
      <c r="AC29" s="31">
        <f>[228]GERAL!$E$113</f>
        <v>10604</v>
      </c>
      <c r="AD29" s="32">
        <f t="shared" si="44"/>
        <v>0.28233592348531195</v>
      </c>
      <c r="AE29" s="31">
        <f>[229]GERAL!$D$78</f>
        <v>199284064.19999999</v>
      </c>
      <c r="AF29" s="31">
        <f t="shared" si="45"/>
        <v>121960871.60342717</v>
      </c>
      <c r="AG29" s="31">
        <f>[229]GERAL!$E$81</f>
        <v>8795</v>
      </c>
      <c r="AH29" s="32">
        <f t="shared" si="46"/>
        <v>0.19849953363042841</v>
      </c>
      <c r="AI29" s="31">
        <f>[230]GERAL!$E$110</f>
        <v>791209183.67999995</v>
      </c>
      <c r="AJ29" s="31">
        <f t="shared" si="47"/>
        <v>413401527.60332304</v>
      </c>
      <c r="AK29" s="31">
        <f>[230]GERAL!$E$113</f>
        <v>32014</v>
      </c>
      <c r="AL29" s="32">
        <f t="shared" si="48"/>
        <v>0.73675789962336424</v>
      </c>
      <c r="AM29" s="31">
        <f>[231]GERAL!$E$110</f>
        <v>873816139.00999999</v>
      </c>
      <c r="AN29" s="31">
        <f t="shared" si="49"/>
        <v>413171374.06496763</v>
      </c>
      <c r="AO29" s="31">
        <f>[231]GERAL!$E$113</f>
        <v>36029</v>
      </c>
      <c r="AP29" s="32">
        <f t="shared" si="50"/>
        <v>0.80024994611833655</v>
      </c>
      <c r="AQ29" s="31">
        <f>[232]GERAL!$E$110</f>
        <v>867689021.69000006</v>
      </c>
      <c r="AR29" s="31">
        <f t="shared" si="51"/>
        <v>371967686.23912209</v>
      </c>
      <c r="AS29" s="31">
        <f>[232]GERAL!$E$113</f>
        <v>36189</v>
      </c>
      <c r="AT29" s="32">
        <f t="shared" si="52"/>
        <v>0.79319029296225552</v>
      </c>
      <c r="AU29" s="31">
        <f>[233]GERAL!$E$110</f>
        <v>852478468.01000011</v>
      </c>
      <c r="AV29" s="31">
        <f t="shared" si="53"/>
        <v>364837142.86142266</v>
      </c>
      <c r="AW29" s="31">
        <f>[233]GERAL!$E$113</f>
        <v>36107</v>
      </c>
      <c r="AX29" s="33">
        <f t="shared" si="54"/>
        <v>0.79918378474339791</v>
      </c>
      <c r="AY29" s="43"/>
    </row>
    <row r="30" spans="1:51" s="22" customFormat="1" ht="30" customHeight="1">
      <c r="A30" s="29">
        <v>24</v>
      </c>
      <c r="B30" s="38" t="s">
        <v>43</v>
      </c>
      <c r="C30" s="31">
        <f>[234]abel!$D$7</f>
        <v>664160541.80999994</v>
      </c>
      <c r="D30" s="31">
        <f t="shared" ref="D30:D45" si="55">C30/$B$90</f>
        <v>374850740.38266164</v>
      </c>
      <c r="E30" s="41">
        <f>[234]abel!$D$8</f>
        <v>26875</v>
      </c>
      <c r="F30" s="32">
        <f t="shared" ref="F30:F45" si="56">C30/$C$46*100</f>
        <v>0.99006846150645877</v>
      </c>
      <c r="G30" s="31">
        <f>[235]abel!$D$7</f>
        <v>1714715866.9200001</v>
      </c>
      <c r="H30" s="31">
        <f t="shared" ref="H30:H45" si="57">G30/$B$91</f>
        <v>982814161.12798774</v>
      </c>
      <c r="I30" s="41">
        <f>[235]abel!$D$8</f>
        <v>29729</v>
      </c>
      <c r="J30" s="32">
        <f t="shared" ref="J30:J45" si="58">G30/$G$46*100</f>
        <v>2.4091168811014292</v>
      </c>
      <c r="K30" s="31">
        <f>[236]abel!$D$7</f>
        <v>1980659807.04</v>
      </c>
      <c r="L30" s="31">
        <f t="shared" ref="L30:L45" si="59">K30/$B$92</f>
        <v>1130513588.4931507</v>
      </c>
      <c r="M30" s="41">
        <f>[236]abel!$D$8</f>
        <v>34284</v>
      </c>
      <c r="N30" s="32">
        <f t="shared" ref="N30:N45" si="60">K30/$K$46*100</f>
        <v>2.6048004801458133</v>
      </c>
      <c r="O30" s="31">
        <f>[237]abel!$D$7</f>
        <v>2407511519.71</v>
      </c>
      <c r="P30" s="31">
        <f t="shared" ref="P30:P45" si="61">O30/$B$93</f>
        <v>1448562887.9121542</v>
      </c>
      <c r="Q30" s="41">
        <f>[237]abel!$D$8</f>
        <v>41602</v>
      </c>
      <c r="R30" s="32">
        <f t="shared" ref="R30:R45" si="62">O30/$O$46*100</f>
        <v>2.9562557917222407</v>
      </c>
      <c r="S30" s="31">
        <f>[238]abel!$D$7</f>
        <v>994631239.47000003</v>
      </c>
      <c r="T30" s="31">
        <f t="shared" ref="T30:T45" si="63">S30/$B$94</f>
        <v>610577.80200736655</v>
      </c>
      <c r="U30" s="41">
        <f>[238]abel!$D$8</f>
        <v>41290</v>
      </c>
      <c r="V30" s="32">
        <f t="shared" ref="V30:V45" si="64">S30/$S$46*100</f>
        <v>1.1669921564827439</v>
      </c>
      <c r="W30" s="31">
        <f>[239]abel!$D$17</f>
        <v>965166950.34000015</v>
      </c>
      <c r="X30" s="31">
        <f t="shared" si="41"/>
        <v>606451115.51366651</v>
      </c>
      <c r="Y30" s="41">
        <f>[239]abel!$D$18</f>
        <v>40948</v>
      </c>
      <c r="Z30" s="32">
        <f t="shared" si="42"/>
        <v>1.0671741055769493</v>
      </c>
      <c r="AA30" s="36">
        <f>W30</f>
        <v>965166950.34000015</v>
      </c>
      <c r="AB30" s="36">
        <f t="shared" si="43"/>
        <v>616247573.96245694</v>
      </c>
      <c r="AC30" s="42">
        <f>Y30</f>
        <v>40948</v>
      </c>
      <c r="AD30" s="37">
        <f t="shared" si="44"/>
        <v>1.008966986815889</v>
      </c>
      <c r="AE30" s="31">
        <f>[240]abel!$D$17</f>
        <v>907159050.11000001</v>
      </c>
      <c r="AF30" s="31">
        <f t="shared" si="45"/>
        <v>555176897.25214207</v>
      </c>
      <c r="AG30" s="42">
        <f>AC30</f>
        <v>40948</v>
      </c>
      <c r="AH30" s="32">
        <f t="shared" si="46"/>
        <v>0.90358779613577078</v>
      </c>
      <c r="AI30" s="31">
        <f>[241]abel!$D$17</f>
        <v>873701651.95999992</v>
      </c>
      <c r="AJ30" s="31">
        <f t="shared" si="47"/>
        <v>456503292.73211765</v>
      </c>
      <c r="AK30" s="42">
        <v>40948</v>
      </c>
      <c r="AL30" s="32">
        <f t="shared" si="48"/>
        <v>0.81357320829058588</v>
      </c>
      <c r="AM30" s="31">
        <f>[242]abel!$D$17</f>
        <v>845761727.21000004</v>
      </c>
      <c r="AN30" s="31">
        <f t="shared" si="49"/>
        <v>399906249.56735545</v>
      </c>
      <c r="AO30" s="42">
        <v>40948</v>
      </c>
      <c r="AP30" s="32">
        <f t="shared" si="50"/>
        <v>0.77455742279556172</v>
      </c>
      <c r="AQ30" s="31">
        <f>[243]abel!$D$17</f>
        <v>822088408.36000001</v>
      </c>
      <c r="AR30" s="31">
        <f t="shared" si="51"/>
        <v>352419260.2392078</v>
      </c>
      <c r="AS30" s="42">
        <v>40948</v>
      </c>
      <c r="AT30" s="32">
        <f t="shared" si="52"/>
        <v>0.75150489307551627</v>
      </c>
      <c r="AU30" s="31">
        <f>[244]abel!$D$17</f>
        <v>792501908.7099998</v>
      </c>
      <c r="AV30" s="31">
        <f t="shared" si="53"/>
        <v>339168838.78712654</v>
      </c>
      <c r="AW30" s="42">
        <v>40948</v>
      </c>
      <c r="AX30" s="33">
        <f t="shared" si="54"/>
        <v>0.7429568001848873</v>
      </c>
      <c r="AY30" s="43" t="s">
        <v>27</v>
      </c>
    </row>
    <row r="31" spans="1:51" s="22" customFormat="1" ht="30" customHeight="1">
      <c r="A31" s="29">
        <v>25</v>
      </c>
      <c r="B31" s="38" t="s">
        <v>44</v>
      </c>
      <c r="C31" s="31">
        <f>[245]GERAL!$E$110</f>
        <v>398439722.30999994</v>
      </c>
      <c r="D31" s="31">
        <f t="shared" si="55"/>
        <v>224878497.74805278</v>
      </c>
      <c r="E31" s="31">
        <f>[245]GERAL!$E$113</f>
        <v>14131</v>
      </c>
      <c r="F31" s="32">
        <f t="shared" si="56"/>
        <v>0.5939566987756616</v>
      </c>
      <c r="G31" s="31">
        <f>[246]GERAL!$E$110</f>
        <v>414175652.19000006</v>
      </c>
      <c r="H31" s="31">
        <f t="shared" si="57"/>
        <v>237390756.11279881</v>
      </c>
      <c r="I31" s="31">
        <f>[246]GERAL!$E$113</f>
        <v>14248</v>
      </c>
      <c r="J31" s="32">
        <f t="shared" si="58"/>
        <v>0.581902561632198</v>
      </c>
      <c r="K31" s="31">
        <f>[247]GERAL!$E$110</f>
        <v>433319830</v>
      </c>
      <c r="L31" s="31">
        <f t="shared" si="59"/>
        <v>247328670.09132421</v>
      </c>
      <c r="M31" s="31">
        <f>[247]GERAL!$E$113</f>
        <v>14416</v>
      </c>
      <c r="N31" s="32">
        <f t="shared" si="60"/>
        <v>0.56986651479918049</v>
      </c>
      <c r="O31" s="31">
        <f>[248]GERAL!$E$110</f>
        <v>474591408.1699999</v>
      </c>
      <c r="P31" s="31">
        <f t="shared" si="61"/>
        <v>285554397.21419972</v>
      </c>
      <c r="Q31" s="31">
        <f>[248]GERAL!$E$113</f>
        <v>15149</v>
      </c>
      <c r="R31" s="32">
        <f t="shared" si="62"/>
        <v>0.58276506160733876</v>
      </c>
      <c r="S31" s="31">
        <f>[249]GERAL!$E$110</f>
        <v>578048021.11000001</v>
      </c>
      <c r="T31" s="31">
        <f t="shared" si="63"/>
        <v>354848.38619398407</v>
      </c>
      <c r="U31" s="31">
        <f>[249]GERAL!$E$113</f>
        <v>18275</v>
      </c>
      <c r="V31" s="32">
        <f t="shared" si="64"/>
        <v>0.67821870049567057</v>
      </c>
      <c r="W31" s="31">
        <f>[250]GERAL!$E$110</f>
        <v>622231422.32999992</v>
      </c>
      <c r="X31" s="31">
        <f t="shared" si="41"/>
        <v>390971675.98491985</v>
      </c>
      <c r="Y31" s="31">
        <f>[250]GERAL!$E$113</f>
        <v>19540</v>
      </c>
      <c r="Z31" s="32">
        <f t="shared" si="42"/>
        <v>0.68799419763904313</v>
      </c>
      <c r="AA31" s="31">
        <f>[251]GERAL!$E$110</f>
        <v>653384656.58999991</v>
      </c>
      <c r="AB31" s="31">
        <f t="shared" si="43"/>
        <v>417178301.99846756</v>
      </c>
      <c r="AC31" s="31">
        <f>[251]GERAL!$E$113</f>
        <v>19730</v>
      </c>
      <c r="AD31" s="32">
        <f t="shared" si="44"/>
        <v>0.68303576698219348</v>
      </c>
      <c r="AE31" s="31">
        <f>[252]GERAL!$E$110</f>
        <v>682206093.50999999</v>
      </c>
      <c r="AF31" s="31">
        <f t="shared" si="45"/>
        <v>417506789.17380661</v>
      </c>
      <c r="AG31" s="31">
        <f>[252]GERAL!$E$113</f>
        <v>19893</v>
      </c>
      <c r="AH31" s="32">
        <f t="shared" si="46"/>
        <v>0.67952042199253504</v>
      </c>
      <c r="AI31" s="31">
        <f>[253]GERAL!$E$110</f>
        <v>714229215.71000004</v>
      </c>
      <c r="AJ31" s="31">
        <f t="shared" si="47"/>
        <v>373180007.16338372</v>
      </c>
      <c r="AK31" s="31">
        <f>[253]GERAL!$E$113</f>
        <v>20162</v>
      </c>
      <c r="AL31" s="32">
        <f t="shared" si="48"/>
        <v>0.66507571912735353</v>
      </c>
      <c r="AM31" s="31">
        <f>[254]GERAL!$E$110</f>
        <v>759383277.6099999</v>
      </c>
      <c r="AN31" s="31">
        <f t="shared" si="49"/>
        <v>359063443.95006853</v>
      </c>
      <c r="AO31" s="31">
        <f>[254]GERAL!$E$113</f>
        <v>20385</v>
      </c>
      <c r="AP31" s="32">
        <f t="shared" si="50"/>
        <v>0.69545113652749069</v>
      </c>
      <c r="AQ31" s="31">
        <f>[255]GERAL!$E$111</f>
        <v>762835452.75999987</v>
      </c>
      <c r="AR31" s="31">
        <f t="shared" si="51"/>
        <v>327018241.84850168</v>
      </c>
      <c r="AS31" s="31">
        <f>[255]GERAL!$E$114</f>
        <v>20298</v>
      </c>
      <c r="AT31" s="32">
        <f t="shared" si="52"/>
        <v>0.69733932449461633</v>
      </c>
      <c r="AU31" s="31">
        <f>[256]GERAL!$E$109</f>
        <v>773693870.06000006</v>
      </c>
      <c r="AV31" s="31">
        <f t="shared" si="53"/>
        <v>331119519.84079438</v>
      </c>
      <c r="AW31" s="31">
        <f>[256]GERAL!$E$112</f>
        <v>20345</v>
      </c>
      <c r="AX31" s="33">
        <f t="shared" si="54"/>
        <v>0.72532459001658234</v>
      </c>
      <c r="AY31" s="28"/>
    </row>
    <row r="32" spans="1:51" s="22" customFormat="1" ht="30" customHeight="1">
      <c r="A32" s="29">
        <v>26</v>
      </c>
      <c r="B32" s="38" t="s">
        <v>45</v>
      </c>
      <c r="C32" s="31">
        <f>[257]Plan1!$D$111</f>
        <v>533175790.90000004</v>
      </c>
      <c r="D32" s="31">
        <f t="shared" si="55"/>
        <v>300923236.7648719</v>
      </c>
      <c r="E32" s="31">
        <f>[257]Plan1!$D$112</f>
        <v>939</v>
      </c>
      <c r="F32" s="32">
        <f t="shared" si="56"/>
        <v>0.7948086370356312</v>
      </c>
      <c r="G32" s="31">
        <f>[258]Plan1!$D$111</f>
        <v>573180685.63</v>
      </c>
      <c r="H32" s="31">
        <f t="shared" si="57"/>
        <v>328526787.20123804</v>
      </c>
      <c r="I32" s="31">
        <f>[258]Plan1!$D$112</f>
        <v>960</v>
      </c>
      <c r="J32" s="32">
        <f t="shared" si="58"/>
        <v>0.80529917073249324</v>
      </c>
      <c r="K32" s="31">
        <f>[259]Plan1!$D$111</f>
        <v>599175082.53999996</v>
      </c>
      <c r="L32" s="31">
        <f t="shared" si="59"/>
        <v>341994910.12557077</v>
      </c>
      <c r="M32" s="31">
        <f>[259]Plan1!$D$112</f>
        <v>971</v>
      </c>
      <c r="N32" s="32">
        <f t="shared" si="60"/>
        <v>0.78798566878783527</v>
      </c>
      <c r="O32" s="31">
        <f>[260]Plan1!$D$111</f>
        <v>598601614.72000003</v>
      </c>
      <c r="P32" s="31">
        <f t="shared" si="61"/>
        <v>360169443.27316487</v>
      </c>
      <c r="Q32" s="31">
        <f>[260]Plan1!$D$112</f>
        <v>1000</v>
      </c>
      <c r="R32" s="32">
        <f t="shared" si="62"/>
        <v>0.73504092336116711</v>
      </c>
      <c r="S32" s="31">
        <f>[261]Plan1!$D$111</f>
        <v>581617691.95999992</v>
      </c>
      <c r="T32" s="31">
        <f t="shared" si="63"/>
        <v>357039.71268262732</v>
      </c>
      <c r="U32" s="31">
        <f>[261]Plan1!$D$112</f>
        <v>1017</v>
      </c>
      <c r="V32" s="32">
        <f t="shared" si="64"/>
        <v>0.68240696416351476</v>
      </c>
      <c r="W32" s="31">
        <f>[262]Plan1!$D$111</f>
        <v>579697049.82000005</v>
      </c>
      <c r="X32" s="31">
        <f t="shared" si="41"/>
        <v>364245711.47973615</v>
      </c>
      <c r="Y32" s="31">
        <f>[262]Plan1!$D$112</f>
        <v>1039</v>
      </c>
      <c r="Z32" s="32">
        <f t="shared" si="42"/>
        <v>0.6409644263402583</v>
      </c>
      <c r="AA32" s="31">
        <f>[263]Plan1!$D$111</f>
        <v>627239590.40999997</v>
      </c>
      <c r="AB32" s="31">
        <f t="shared" si="43"/>
        <v>400484989.40748304</v>
      </c>
      <c r="AC32" s="31">
        <f>[263]Plan1!$D$112</f>
        <v>1068</v>
      </c>
      <c r="AD32" s="32">
        <f t="shared" si="44"/>
        <v>0.65570421710427462</v>
      </c>
      <c r="AE32" s="31">
        <f>[264]Plan1!$D$111</f>
        <v>624794916.83999991</v>
      </c>
      <c r="AF32" s="31">
        <f t="shared" si="45"/>
        <v>382371430.13463891</v>
      </c>
      <c r="AG32" s="31">
        <f>[264]Plan1!$D$112</f>
        <v>1103</v>
      </c>
      <c r="AH32" s="32">
        <f t="shared" si="46"/>
        <v>0.62233525849279769</v>
      </c>
      <c r="AI32" s="31">
        <f>[265]Plan1!$D$111</f>
        <v>630718894.86000001</v>
      </c>
      <c r="AJ32" s="31">
        <f t="shared" si="47"/>
        <v>329546420.84748423</v>
      </c>
      <c r="AK32" s="31">
        <f>[265]Plan1!$D$112</f>
        <v>1146</v>
      </c>
      <c r="AL32" s="32">
        <f t="shared" si="48"/>
        <v>0.58731260684881426</v>
      </c>
      <c r="AM32" s="31">
        <f>[266]Plan1!$D$111</f>
        <v>634432902.78000009</v>
      </c>
      <c r="AN32" s="31">
        <f t="shared" si="49"/>
        <v>299982459.11390615</v>
      </c>
      <c r="AO32" s="31">
        <f>[266]Plan1!$D$112</f>
        <v>1225</v>
      </c>
      <c r="AP32" s="32">
        <f t="shared" si="50"/>
        <v>0.58102027829401859</v>
      </c>
      <c r="AQ32" s="31">
        <f>[267]Plan1!$D$111</f>
        <v>639361324.66999996</v>
      </c>
      <c r="AR32" s="31">
        <f t="shared" si="51"/>
        <v>274086391.16474468</v>
      </c>
      <c r="AS32" s="31">
        <f>[267]Plan1!$D$112</f>
        <v>1284</v>
      </c>
      <c r="AT32" s="32">
        <f t="shared" si="52"/>
        <v>0.58446653552903616</v>
      </c>
      <c r="AU32" s="31">
        <f>[268]Plan1!$D$111</f>
        <v>704273650.93000007</v>
      </c>
      <c r="AV32" s="31">
        <f t="shared" si="53"/>
        <v>301409591.25652665</v>
      </c>
      <c r="AW32" s="31">
        <f>[268]Plan1!$D$112</f>
        <v>1342</v>
      </c>
      <c r="AX32" s="33">
        <f t="shared" si="54"/>
        <v>0.66024433808771066</v>
      </c>
      <c r="AY32" s="28"/>
    </row>
    <row r="33" spans="1:51" s="22" customFormat="1" ht="30" customHeight="1">
      <c r="A33" s="29">
        <v>27</v>
      </c>
      <c r="B33" s="38" t="s">
        <v>46</v>
      </c>
      <c r="C33" s="31">
        <f>'[269]ABEL QUADRO 2'!$F$95</f>
        <v>989680916.06000006</v>
      </c>
      <c r="D33" s="31">
        <f t="shared" si="55"/>
        <v>558573719.41528392</v>
      </c>
      <c r="E33" s="31">
        <f>'[269]ABEL QUADRO 2'!$F$96</f>
        <v>25729</v>
      </c>
      <c r="F33" s="32">
        <f t="shared" si="56"/>
        <v>1.4753238114319334</v>
      </c>
      <c r="G33" s="31">
        <f>'[270]ABEL QUADRO 2'!$F$95</f>
        <v>941266180.25</v>
      </c>
      <c r="H33" s="31">
        <f t="shared" si="57"/>
        <v>539500303.92044485</v>
      </c>
      <c r="I33" s="31">
        <f>'[270]ABEL QUADRO 2'!$F$96</f>
        <v>25316</v>
      </c>
      <c r="J33" s="32">
        <f t="shared" si="58"/>
        <v>1.3224466444830134</v>
      </c>
      <c r="K33" s="31">
        <f>'[271]ABEL QUADRO 2'!$F$95</f>
        <v>890796529.41999996</v>
      </c>
      <c r="L33" s="31">
        <f t="shared" si="59"/>
        <v>508445507.65981734</v>
      </c>
      <c r="M33" s="31">
        <f>'[271]ABEL QUADRO 2'!$F$96</f>
        <v>24901</v>
      </c>
      <c r="N33" s="32">
        <f t="shared" si="60"/>
        <v>1.1715021526150349</v>
      </c>
      <c r="O33" s="31">
        <f>'[272]1112 ABEL QUADRO 2'!$F$95</f>
        <v>840006148.61999989</v>
      </c>
      <c r="P33" s="31">
        <f t="shared" si="61"/>
        <v>505418861.98555952</v>
      </c>
      <c r="Q33" s="31">
        <f>'[272]1112 ABEL QUADRO 2'!$F$96</f>
        <v>23488</v>
      </c>
      <c r="R33" s="32">
        <f t="shared" si="62"/>
        <v>1.0314688098519642</v>
      </c>
      <c r="S33" s="31">
        <f>'[273]ABEL QUADRO 2'!$F$95</f>
        <v>793609193.80999994</v>
      </c>
      <c r="T33" s="31">
        <f t="shared" si="63"/>
        <v>487175.68680785754</v>
      </c>
      <c r="U33" s="31">
        <f>'[273]ABEL QUADRO 2'!$F$96</f>
        <v>23079</v>
      </c>
      <c r="V33" s="32">
        <f t="shared" si="64"/>
        <v>0.93113474395029561</v>
      </c>
      <c r="W33" s="31">
        <f>'[274]ABEL QUADRO 2'!$F$95</f>
        <v>747060883.90999997</v>
      </c>
      <c r="X33" s="31">
        <f t="shared" si="41"/>
        <v>469406775.94093621</v>
      </c>
      <c r="Y33" s="31">
        <f>'[274]ABEL QUADRO 2'!$F$96</f>
        <v>22664</v>
      </c>
      <c r="Z33" s="32">
        <f t="shared" si="42"/>
        <v>0.82601671173814384</v>
      </c>
      <c r="AA33" s="31">
        <f>'[275]ABEL QUADRO 2'!$F$95</f>
        <v>696241626.5</v>
      </c>
      <c r="AB33" s="31">
        <f t="shared" si="43"/>
        <v>444541965.58549356</v>
      </c>
      <c r="AC33" s="31">
        <f>'[275]ABEL QUADRO 2'!$F$96</f>
        <v>20870</v>
      </c>
      <c r="AD33" s="32">
        <f t="shared" si="44"/>
        <v>0.72783761994547558</v>
      </c>
      <c r="AE33" s="31">
        <f>'[276]ABEL QUADRO 2'!$F$95</f>
        <v>665232419.77999985</v>
      </c>
      <c r="AF33" s="31">
        <f t="shared" si="45"/>
        <v>407118983.95348829</v>
      </c>
      <c r="AG33" s="31">
        <f>'[276]ABEL QUADRO 2'!$F$96</f>
        <v>20476</v>
      </c>
      <c r="AH33" s="32">
        <f t="shared" si="46"/>
        <v>0.66261356928995918</v>
      </c>
      <c r="AI33" s="31">
        <f>'[277]ABEL QUADRO 2'!$F$95</f>
        <v>625351087.30999994</v>
      </c>
      <c r="AJ33" s="31">
        <f t="shared" si="47"/>
        <v>326741777.16181618</v>
      </c>
      <c r="AK33" s="31">
        <f>'[277]ABEL QUADRO 2'!$F$96</f>
        <v>20011</v>
      </c>
      <c r="AL33" s="32">
        <f t="shared" si="48"/>
        <v>0.58231421363284264</v>
      </c>
      <c r="AM33" s="31">
        <f>'[278]ABEL QUADRO 2'!$F$95</f>
        <v>587793185.49000001</v>
      </c>
      <c r="AN33" s="31">
        <f t="shared" si="49"/>
        <v>277929540.63549107</v>
      </c>
      <c r="AO33" s="31">
        <f>'[278]ABEL QUADRO 2'!$F$96</f>
        <v>18322</v>
      </c>
      <c r="AP33" s="32">
        <f t="shared" si="50"/>
        <v>0.53830713810118225</v>
      </c>
      <c r="AQ33" s="31">
        <f>'[279]ABEL QUADRO 2'!$F$95</f>
        <v>555589501.32999992</v>
      </c>
      <c r="AR33" s="31">
        <f t="shared" si="51"/>
        <v>238174433.63055682</v>
      </c>
      <c r="AS33" s="31">
        <f>'[279]ABEL QUADRO 2'!$F$96</f>
        <v>17935</v>
      </c>
      <c r="AT33" s="32">
        <f t="shared" si="52"/>
        <v>0.50788725950268065</v>
      </c>
      <c r="AU33" s="31">
        <f>'[280]ABEL QUADRO 2'!$F$95</f>
        <v>518557394.79000002</v>
      </c>
      <c r="AV33" s="31">
        <f t="shared" si="53"/>
        <v>221928184.02379528</v>
      </c>
      <c r="AW33" s="31">
        <f>'[280]ABEL QUADRO 2'!$F$96</f>
        <v>17507</v>
      </c>
      <c r="AX33" s="33">
        <f t="shared" si="54"/>
        <v>0.48613856763134944</v>
      </c>
      <c r="AY33" s="28"/>
    </row>
    <row r="34" spans="1:51" s="22" customFormat="1" ht="30" customHeight="1">
      <c r="A34" s="29">
        <v>28</v>
      </c>
      <c r="B34" s="38" t="s">
        <v>47</v>
      </c>
      <c r="C34" s="31">
        <f>'[281]2QUADRO'!$E$111</f>
        <v>396262508.023</v>
      </c>
      <c r="D34" s="31">
        <f t="shared" si="55"/>
        <v>223649682.82142454</v>
      </c>
      <c r="E34" s="31">
        <f>'[281]2QUADRO'!$E$112</f>
        <v>5176</v>
      </c>
      <c r="F34" s="32">
        <f t="shared" si="56"/>
        <v>0.59071111120488329</v>
      </c>
      <c r="G34" s="31">
        <f>'[282]2QUADRO'!$E$111</f>
        <v>388277050.82299995</v>
      </c>
      <c r="H34" s="31">
        <f t="shared" si="57"/>
        <v>222546598.7407577</v>
      </c>
      <c r="I34" s="31">
        <f>'[282]2QUADRO'!$E$112</f>
        <v>5324</v>
      </c>
      <c r="J34" s="32">
        <f t="shared" si="58"/>
        <v>0.5455159165011727</v>
      </c>
      <c r="K34" s="36">
        <f>'[282]2QUADRO'!$E$111</f>
        <v>388277050.82299995</v>
      </c>
      <c r="L34" s="36">
        <f t="shared" si="59"/>
        <v>221619321.24600455</v>
      </c>
      <c r="M34" s="36">
        <f>'[282]2QUADRO'!$E$112</f>
        <v>5324</v>
      </c>
      <c r="N34" s="37">
        <f t="shared" si="60"/>
        <v>0.51062996523608739</v>
      </c>
      <c r="O34" s="31">
        <f>'[283]2QUADRO'!$E$111</f>
        <v>376225710.023</v>
      </c>
      <c r="P34" s="31">
        <f t="shared" si="61"/>
        <v>226369259.94163659</v>
      </c>
      <c r="Q34" s="31">
        <f>'[283]2QUADRO'!$E$112</f>
        <v>5398</v>
      </c>
      <c r="R34" s="32">
        <f t="shared" si="62"/>
        <v>0.46197886288173601</v>
      </c>
      <c r="S34" s="36">
        <f>'[283]2QUADRO'!$E$111</f>
        <v>376225710.023</v>
      </c>
      <c r="T34" s="36">
        <f t="shared" si="63"/>
        <v>230955.00922222223</v>
      </c>
      <c r="U34" s="36">
        <f>'[283]2QUADRO'!$E$112</f>
        <v>5398</v>
      </c>
      <c r="V34" s="37">
        <f t="shared" si="64"/>
        <v>0.44142234351893683</v>
      </c>
      <c r="W34" s="36">
        <f>'[283]2QUADRO'!$E$111</f>
        <v>376225710.023</v>
      </c>
      <c r="X34" s="36">
        <f t="shared" si="41"/>
        <v>236396927.4414075</v>
      </c>
      <c r="Y34" s="36">
        <f>'[283]2QUADRO'!$E$112</f>
        <v>5398</v>
      </c>
      <c r="Z34" s="37">
        <f t="shared" si="42"/>
        <v>0.41598848307788772</v>
      </c>
      <c r="AA34" s="36">
        <f>W34</f>
        <v>376225710.023</v>
      </c>
      <c r="AB34" s="36">
        <f t="shared" si="43"/>
        <v>240215623.81752011</v>
      </c>
      <c r="AC34" s="36">
        <v>5398</v>
      </c>
      <c r="AD34" s="37">
        <f t="shared" si="44"/>
        <v>0.39329912909974069</v>
      </c>
      <c r="AE34" s="36">
        <v>376225710.023</v>
      </c>
      <c r="AF34" s="36">
        <f t="shared" si="45"/>
        <v>230248292.54773563</v>
      </c>
      <c r="AG34" s="36">
        <v>5398</v>
      </c>
      <c r="AH34" s="37">
        <f t="shared" si="46"/>
        <v>0.37474460529063369</v>
      </c>
      <c r="AI34" s="36">
        <v>376225710.023</v>
      </c>
      <c r="AJ34" s="36">
        <f t="shared" si="47"/>
        <v>196575427.15032133</v>
      </c>
      <c r="AK34" s="36">
        <v>22664</v>
      </c>
      <c r="AL34" s="37">
        <f t="shared" si="48"/>
        <v>0.35033372920625905</v>
      </c>
      <c r="AM34" s="31">
        <f>'[284]2QUADRO'!$G$112</f>
        <v>585099369</v>
      </c>
      <c r="AN34" s="31">
        <f t="shared" si="49"/>
        <v>276655808.31244975</v>
      </c>
      <c r="AO34" s="31">
        <f>'[284]2QUADRO'!$F$113</f>
        <v>5750</v>
      </c>
      <c r="AP34" s="32">
        <f t="shared" si="50"/>
        <v>0.53584011282579935</v>
      </c>
      <c r="AQ34" s="31">
        <f>'[285]2QUADRO'!$F$112</f>
        <v>461866448.96999997</v>
      </c>
      <c r="AR34" s="31">
        <f t="shared" si="51"/>
        <v>197996505.7529901</v>
      </c>
      <c r="AS34" s="31">
        <f>'[285]2QUADRO'!$F$113</f>
        <v>5750</v>
      </c>
      <c r="AT34" s="32">
        <f t="shared" si="52"/>
        <v>0.42221115493015465</v>
      </c>
      <c r="AU34" s="31">
        <f>'[286]2QUADRO'!$F$112</f>
        <v>458420604.56999993</v>
      </c>
      <c r="AV34" s="31">
        <f t="shared" si="53"/>
        <v>196191305.55935973</v>
      </c>
      <c r="AW34" s="31">
        <f>'[286]2QUADRO'!$F$113</f>
        <v>5549</v>
      </c>
      <c r="AX34" s="33">
        <f t="shared" si="54"/>
        <v>0.42976136936318671</v>
      </c>
      <c r="AY34" s="28"/>
    </row>
    <row r="35" spans="1:51" s="22" customFormat="1" ht="30" customHeight="1">
      <c r="A35" s="29">
        <v>29</v>
      </c>
      <c r="B35" s="38" t="s">
        <v>48</v>
      </c>
      <c r="C35" s="31">
        <f>[287]Plan1!$D$111</f>
        <v>258015994.46000001</v>
      </c>
      <c r="D35" s="31">
        <f t="shared" si="55"/>
        <v>145623656.42849079</v>
      </c>
      <c r="E35" s="31">
        <f>[287]Plan1!$D$112</f>
        <v>6591</v>
      </c>
      <c r="F35" s="32">
        <f t="shared" si="56"/>
        <v>0.38462612967475895</v>
      </c>
      <c r="G35" s="31">
        <f>[288]Plan1!$D$111</f>
        <v>261934019.25</v>
      </c>
      <c r="H35" s="31">
        <f t="shared" si="57"/>
        <v>150131265.69037658</v>
      </c>
      <c r="I35" s="31">
        <f>[288]Plan1!$D$112</f>
        <v>6591</v>
      </c>
      <c r="J35" s="32">
        <f t="shared" si="58"/>
        <v>0.36800829786650729</v>
      </c>
      <c r="K35" s="31">
        <f>[289]Plan1!$D$111</f>
        <v>279319157.38</v>
      </c>
      <c r="L35" s="31">
        <f t="shared" si="59"/>
        <v>159428742.79680365</v>
      </c>
      <c r="M35" s="31">
        <f>[289]Plan1!$D$112</f>
        <v>6591</v>
      </c>
      <c r="N35" s="32">
        <f t="shared" si="60"/>
        <v>0.36733752695505395</v>
      </c>
      <c r="O35" s="31">
        <f>[290]Plan1!$D$111</f>
        <v>284867057.02999997</v>
      </c>
      <c r="P35" s="31">
        <f t="shared" si="61"/>
        <v>171400154.65102285</v>
      </c>
      <c r="Q35" s="31">
        <f>[290]Plan1!$D$112</f>
        <v>6591</v>
      </c>
      <c r="R35" s="32">
        <f t="shared" si="62"/>
        <v>0.34979682561072367</v>
      </c>
      <c r="S35" s="31">
        <f>[291]Plan1!$D$111</f>
        <v>292188009.52999997</v>
      </c>
      <c r="T35" s="31">
        <f t="shared" si="63"/>
        <v>179366.4883548189</v>
      </c>
      <c r="U35" s="31">
        <f>[291]Plan1!$D$112</f>
        <v>6591</v>
      </c>
      <c r="V35" s="32">
        <f t="shared" si="64"/>
        <v>0.34282164264367027</v>
      </c>
      <c r="W35" s="50">
        <f>[291]Plan1!$D$111</f>
        <v>292188009.52999997</v>
      </c>
      <c r="X35" s="36">
        <f t="shared" si="41"/>
        <v>183592842.93433866</v>
      </c>
      <c r="Y35" s="50">
        <f>[291]Plan1!$D$112</f>
        <v>6591</v>
      </c>
      <c r="Z35" s="37">
        <f t="shared" si="42"/>
        <v>0.32306895467218738</v>
      </c>
      <c r="AA35" s="31">
        <f>[292]Plan1!$D$111</f>
        <v>273904567.50999999</v>
      </c>
      <c r="AB35" s="31">
        <f t="shared" si="43"/>
        <v>174884796.0094496</v>
      </c>
      <c r="AC35" s="31">
        <f>[292]Plan1!$D$112</f>
        <v>8164</v>
      </c>
      <c r="AD35" s="32">
        <f t="shared" si="44"/>
        <v>0.28633457254034667</v>
      </c>
      <c r="AE35" s="31">
        <f>[293]Plan1!$D$111</f>
        <v>277158087.73000002</v>
      </c>
      <c r="AF35" s="31">
        <f t="shared" si="45"/>
        <v>169619392.73561814</v>
      </c>
      <c r="AG35" s="31">
        <f>[293]Plan1!$D$112</f>
        <v>8275</v>
      </c>
      <c r="AH35" s="32">
        <f t="shared" si="46"/>
        <v>0.27606698697740817</v>
      </c>
      <c r="AI35" s="31">
        <f>[294]Plan1!$D$111</f>
        <v>300115866.80000001</v>
      </c>
      <c r="AJ35" s="31">
        <f t="shared" si="47"/>
        <v>156808541.09410107</v>
      </c>
      <c r="AK35" s="31">
        <f>[294]Plan1!$D$112</f>
        <v>8439</v>
      </c>
      <c r="AL35" s="32">
        <f t="shared" si="48"/>
        <v>0.27946179117739001</v>
      </c>
      <c r="AM35" s="31">
        <f>[295]Plan1!$D$111</f>
        <v>308305317.60000002</v>
      </c>
      <c r="AN35" s="31">
        <f t="shared" si="49"/>
        <v>145777728.30866709</v>
      </c>
      <c r="AO35" s="31">
        <f>[295]Plan1!$D$112</f>
        <v>8439</v>
      </c>
      <c r="AP35" s="32">
        <f t="shared" si="50"/>
        <v>0.28234922975549803</v>
      </c>
      <c r="AQ35" s="31">
        <f>[296]Plan1!$D$111</f>
        <v>322048984.69999999</v>
      </c>
      <c r="AR35" s="31">
        <f t="shared" si="51"/>
        <v>138058466.45518067</v>
      </c>
      <c r="AS35" s="31">
        <f>[296]Plan1!$D$112</f>
        <v>8591</v>
      </c>
      <c r="AT35" s="32">
        <f t="shared" si="52"/>
        <v>0.29439824883903326</v>
      </c>
      <c r="AU35" s="31">
        <f>[297]Plan1!$D$111</f>
        <v>342986560</v>
      </c>
      <c r="AV35" s="31">
        <f t="shared" si="53"/>
        <v>146788735.76992211</v>
      </c>
      <c r="AW35" s="31">
        <f>[297]Plan1!$D$112</f>
        <v>8591</v>
      </c>
      <c r="AX35" s="33">
        <f t="shared" si="54"/>
        <v>0.32154395380424206</v>
      </c>
      <c r="AY35" s="28"/>
    </row>
    <row r="36" spans="1:51" s="22" customFormat="1" ht="30" customHeight="1">
      <c r="A36" s="29">
        <v>30</v>
      </c>
      <c r="B36" s="38" t="s">
        <v>49</v>
      </c>
      <c r="C36" s="31">
        <f>[298]Plan1!$D$111</f>
        <v>336195865.96999991</v>
      </c>
      <c r="D36" s="31">
        <f t="shared" si="55"/>
        <v>189748202.94051242</v>
      </c>
      <c r="E36" s="31">
        <f>[298]Plan1!$D$112</f>
        <v>2521</v>
      </c>
      <c r="F36" s="32">
        <f t="shared" si="56"/>
        <v>0.50116937522158855</v>
      </c>
      <c r="G36" s="31">
        <f>[299]Plan1!$D$111</f>
        <v>323451979.01999992</v>
      </c>
      <c r="H36" s="31">
        <f t="shared" si="57"/>
        <v>185391172.70590928</v>
      </c>
      <c r="I36" s="31">
        <f>[299]Plan1!$D$112</f>
        <v>2416</v>
      </c>
      <c r="J36" s="32">
        <f t="shared" si="58"/>
        <v>0.45443891779133</v>
      </c>
      <c r="K36" s="31">
        <f>[300]Plan1!$D$111</f>
        <v>310240773.97999996</v>
      </c>
      <c r="L36" s="31">
        <f t="shared" si="59"/>
        <v>177078067.34018263</v>
      </c>
      <c r="M36" s="31">
        <f>[300]Plan1!$D$112</f>
        <v>2288</v>
      </c>
      <c r="N36" s="32">
        <f t="shared" si="60"/>
        <v>0.40800308773448668</v>
      </c>
      <c r="O36" s="31">
        <f>[301]Plan1!$D$111</f>
        <v>294166651.88</v>
      </c>
      <c r="P36" s="31">
        <f t="shared" si="61"/>
        <v>176995578.74849579</v>
      </c>
      <c r="Q36" s="31">
        <f>[301]Plan1!$D$112</f>
        <v>2161</v>
      </c>
      <c r="R36" s="32">
        <f t="shared" si="62"/>
        <v>0.36121607777666737</v>
      </c>
      <c r="S36" s="31">
        <f>[302]Plan1!$D$111</f>
        <v>276070528.73999995</v>
      </c>
      <c r="T36" s="31">
        <f t="shared" si="63"/>
        <v>169472.39333333331</v>
      </c>
      <c r="U36" s="31">
        <f>[302]Plan1!$D$112</f>
        <v>2161</v>
      </c>
      <c r="V36" s="32">
        <f t="shared" si="64"/>
        <v>0.32391114303558044</v>
      </c>
      <c r="W36" s="31">
        <f>[303]RELATORIO!$E$110</f>
        <v>262164647.49000007</v>
      </c>
      <c r="X36" s="31">
        <f t="shared" si="41"/>
        <v>164728022.29971731</v>
      </c>
      <c r="Y36" s="31">
        <f>[303]RELATORIO!$E$112</f>
        <v>949</v>
      </c>
      <c r="Z36" s="32">
        <f t="shared" si="42"/>
        <v>0.28987246517349186</v>
      </c>
      <c r="AA36" s="31">
        <f>[304]RELATORIO!$E$110</f>
        <v>259788040.85999998</v>
      </c>
      <c r="AB36" s="31">
        <f t="shared" si="43"/>
        <v>165871562.29089513</v>
      </c>
      <c r="AC36" s="31">
        <f>[304]RELATORIO!$E$112</f>
        <v>887</v>
      </c>
      <c r="AD36" s="32">
        <f t="shared" si="44"/>
        <v>0.27157742679127267</v>
      </c>
      <c r="AE36" s="31">
        <f>[305]RELATORIO!$E$110</f>
        <v>269185276.19</v>
      </c>
      <c r="AF36" s="31">
        <f t="shared" si="45"/>
        <v>164740071.10771114</v>
      </c>
      <c r="AG36" s="31">
        <f>[305]RELATORIO!$E$112</f>
        <v>839</v>
      </c>
      <c r="AH36" s="32">
        <f t="shared" si="46"/>
        <v>0.26812556236442447</v>
      </c>
      <c r="AI36" s="31">
        <f>[306]RELATORIO!$E$110</f>
        <v>266653265.42000002</v>
      </c>
      <c r="AJ36" s="31">
        <f t="shared" si="47"/>
        <v>139324554.79387638</v>
      </c>
      <c r="AK36" s="31">
        <f>[306]RELATORIO!$E$112</f>
        <v>1730</v>
      </c>
      <c r="AL36" s="32">
        <f t="shared" si="48"/>
        <v>0.24830209736039582</v>
      </c>
      <c r="AM36" s="31">
        <f>[307]RELATORIO!$E$110</f>
        <v>284904403.89999998</v>
      </c>
      <c r="AN36" s="31">
        <f t="shared" si="49"/>
        <v>134712943.3542957</v>
      </c>
      <c r="AO36" s="31">
        <f>[307]RELATORIO!$E$112</f>
        <v>1647</v>
      </c>
      <c r="AP36" s="32">
        <f t="shared" si="50"/>
        <v>0.26091842859318332</v>
      </c>
      <c r="AQ36" s="31">
        <f>[308]RELATORIO!$E$110</f>
        <v>283938295.02999997</v>
      </c>
      <c r="AR36" s="31">
        <f t="shared" si="51"/>
        <v>121720879.25151111</v>
      </c>
      <c r="AS36" s="31">
        <f>[308]RELATORIO!$E$112</f>
        <v>1555</v>
      </c>
      <c r="AT36" s="32">
        <f t="shared" si="52"/>
        <v>0.25955969683630792</v>
      </c>
      <c r="AU36" s="31">
        <f>[309]RELATORIO!$E$110</f>
        <v>283277990.85000002</v>
      </c>
      <c r="AV36" s="31">
        <f t="shared" si="53"/>
        <v>121235124.04776172</v>
      </c>
      <c r="AW36" s="31">
        <f>[309]RELATORIO!$E$112</f>
        <v>1445</v>
      </c>
      <c r="AX36" s="33">
        <f t="shared" si="54"/>
        <v>0.26556820536533826</v>
      </c>
      <c r="AY36" s="28"/>
    </row>
    <row r="37" spans="1:51" s="22" customFormat="1" ht="30" customHeight="1">
      <c r="A37" s="29">
        <v>31</v>
      </c>
      <c r="B37" s="38" t="s">
        <v>50</v>
      </c>
      <c r="C37" s="31">
        <f>'[310]ABEL QUADRO 2'!$I$124</f>
        <v>94954587.340000004</v>
      </c>
      <c r="D37" s="31">
        <f t="shared" si="55"/>
        <v>53592159.013432667</v>
      </c>
      <c r="E37" s="49">
        <f>'[310]ABEL QUADRO 2'!$I$125</f>
        <v>3298</v>
      </c>
      <c r="F37" s="32">
        <f t="shared" si="56"/>
        <v>0.14154942409630361</v>
      </c>
      <c r="G37" s="31">
        <f>'[311]ABEL QUADRO 2'!$I$124</f>
        <v>93724976.290000021</v>
      </c>
      <c r="H37" s="31">
        <f t="shared" si="57"/>
        <v>53719823.631569915</v>
      </c>
      <c r="I37" s="49">
        <f>'[311]ABEL QUADRO 2'!$I$125</f>
        <v>3341</v>
      </c>
      <c r="J37" s="32">
        <f t="shared" si="58"/>
        <v>0.13168037160969753</v>
      </c>
      <c r="K37" s="31">
        <f>'[312]ABEL QUADRO 2'!$I$124</f>
        <v>101926549.83</v>
      </c>
      <c r="L37" s="31">
        <f t="shared" si="59"/>
        <v>58177254.469178081</v>
      </c>
      <c r="M37" s="49">
        <f>'[312]ABEL QUADRO 2'!$I$125</f>
        <v>3720</v>
      </c>
      <c r="N37" s="32">
        <f t="shared" si="60"/>
        <v>0.13404539486948266</v>
      </c>
      <c r="O37" s="31">
        <f>'[313]ABEL QUADRO 2'!$I$124</f>
        <v>127836097.23000003</v>
      </c>
      <c r="P37" s="31">
        <f t="shared" si="61"/>
        <v>76917026.010830343</v>
      </c>
      <c r="Q37" s="49">
        <f>'[313]ABEL QUADRO 2'!$I$125</f>
        <v>4650</v>
      </c>
      <c r="R37" s="32">
        <f t="shared" si="62"/>
        <v>0.15697378796878092</v>
      </c>
      <c r="S37" s="31">
        <f>'[314]ABEL QUADRO 2'!$I$124</f>
        <v>152027683.54000002</v>
      </c>
      <c r="T37" s="31">
        <f t="shared" si="63"/>
        <v>93325.772584407619</v>
      </c>
      <c r="U37" s="49">
        <f>'[314]ABEL QUADRO 2'!$I$125</f>
        <v>5666</v>
      </c>
      <c r="V37" s="32">
        <f t="shared" si="64"/>
        <v>0.17837275486536933</v>
      </c>
      <c r="W37" s="31">
        <f>'[315]ABEL QUADRO 2'!$I$124</f>
        <v>179715868.05000001</v>
      </c>
      <c r="X37" s="31">
        <f t="shared" si="41"/>
        <v>112922317.34213008</v>
      </c>
      <c r="Y37" s="49">
        <f>'[315]ABEL QUADRO 2'!$I$125</f>
        <v>6860</v>
      </c>
      <c r="Z37" s="32">
        <f t="shared" si="42"/>
        <v>0.19870978868130784</v>
      </c>
      <c r="AA37" s="31">
        <f>'[316]ABEL QUADRO 2'!$I$124</f>
        <v>209011689.68999997</v>
      </c>
      <c r="AB37" s="31">
        <f t="shared" si="43"/>
        <v>133451468.32460731</v>
      </c>
      <c r="AC37" s="49">
        <f>'[316]ABEL QUADRO 2'!$I$125</f>
        <v>8003</v>
      </c>
      <c r="AD37" s="32">
        <f t="shared" si="44"/>
        <v>0.21849680480825412</v>
      </c>
      <c r="AE37" s="31">
        <f>'[317]ABEL QUADRO 2'!$I$124</f>
        <v>237263043.49000001</v>
      </c>
      <c r="AF37" s="31">
        <f t="shared" si="45"/>
        <v>145203820.98531213</v>
      </c>
      <c r="AG37" s="49">
        <f>'[317]ABEL QUADRO 2'!$I$125</f>
        <v>9250</v>
      </c>
      <c r="AH37" s="32">
        <f t="shared" si="46"/>
        <v>0.23632899935860033</v>
      </c>
      <c r="AI37" s="31">
        <f>'[318]ABEL QUADRO 2'!$I$124</f>
        <v>257679873.31999999</v>
      </c>
      <c r="AJ37" s="31">
        <f t="shared" si="47"/>
        <v>134636017.2004807</v>
      </c>
      <c r="AK37" s="49">
        <f>'[318]ABEL QUADRO 2'!$I$125</f>
        <v>10240</v>
      </c>
      <c r="AL37" s="32">
        <f t="shared" si="48"/>
        <v>0.23994625714460938</v>
      </c>
      <c r="AM37" s="31">
        <f>'[319]ABEL QUADRO 2'!$I$124</f>
        <v>266729382.38999996</v>
      </c>
      <c r="AN37" s="31">
        <f t="shared" si="49"/>
        <v>126119146.24332118</v>
      </c>
      <c r="AO37" s="49">
        <f>'[319]ABEL QUADRO 2'!$I$125</f>
        <v>10624</v>
      </c>
      <c r="AP37" s="32">
        <f t="shared" si="50"/>
        <v>0.24427355407695434</v>
      </c>
      <c r="AQ37" s="31">
        <f>'[320]ABEL QUADRO 2'!$I$124</f>
        <v>268125917.06999999</v>
      </c>
      <c r="AR37" s="31">
        <f t="shared" si="51"/>
        <v>114942305.94161272</v>
      </c>
      <c r="AS37" s="49">
        <f>'[320]ABEL QUADRO 2'!$I$125</f>
        <v>10885</v>
      </c>
      <c r="AT37" s="32">
        <f t="shared" si="52"/>
        <v>0.24510495050092873</v>
      </c>
      <c r="AU37" s="31">
        <f>'[321]ABEL QUADRO 2'!$I$124</f>
        <v>263944879.95000002</v>
      </c>
      <c r="AV37" s="31">
        <f t="shared" si="53"/>
        <v>112961088.74004966</v>
      </c>
      <c r="AW37" s="49">
        <f>'[321]ABEL QUADRO 2'!$I$125</f>
        <v>11016</v>
      </c>
      <c r="AX37" s="33">
        <f t="shared" si="54"/>
        <v>0.24744374906558736</v>
      </c>
      <c r="AY37" s="28"/>
    </row>
    <row r="38" spans="1:51" s="22" customFormat="1" ht="30" customHeight="1">
      <c r="A38" s="29">
        <v>32</v>
      </c>
      <c r="B38" s="38" t="s">
        <v>51</v>
      </c>
      <c r="C38" s="31">
        <f>'[322]0108'!$E$110</f>
        <v>47727129.019999996</v>
      </c>
      <c r="D38" s="31">
        <f t="shared" si="55"/>
        <v>26937086.025510777</v>
      </c>
      <c r="E38" s="31">
        <f>'[322]0108'!$E$111</f>
        <v>4517</v>
      </c>
      <c r="F38" s="32">
        <f t="shared" si="56"/>
        <v>7.1147143237650548E-2</v>
      </c>
      <c r="G38" s="31">
        <f>'[323]0208'!$E$110</f>
        <v>48238592.849999994</v>
      </c>
      <c r="H38" s="31">
        <f t="shared" si="57"/>
        <v>27648646.099615976</v>
      </c>
      <c r="I38" s="31">
        <f>'[323]0208'!$E$111</f>
        <v>4512</v>
      </c>
      <c r="J38" s="32">
        <f t="shared" si="58"/>
        <v>6.7773565637003319E-2</v>
      </c>
      <c r="K38" s="31">
        <f>'[324]0308'!$E$110</f>
        <v>48025082.449999996</v>
      </c>
      <c r="L38" s="31">
        <f t="shared" si="59"/>
        <v>27411576.740867577</v>
      </c>
      <c r="M38" s="31">
        <f>'[324]0308'!$E$111</f>
        <v>4512</v>
      </c>
      <c r="N38" s="32">
        <f t="shared" si="60"/>
        <v>6.3158628947871567E-2</v>
      </c>
      <c r="O38" s="31">
        <f>'[325]0408'!$E$110</f>
        <v>48970833.079999991</v>
      </c>
      <c r="P38" s="31">
        <f t="shared" si="61"/>
        <v>29465001.853188924</v>
      </c>
      <c r="Q38" s="31">
        <f>'[325]0408'!$E$111</f>
        <v>4520</v>
      </c>
      <c r="R38" s="32">
        <f t="shared" si="62"/>
        <v>6.0132758548815397E-2</v>
      </c>
      <c r="S38" s="31">
        <f>'[326]0508'!$E$110</f>
        <v>53340420.740000002</v>
      </c>
      <c r="T38" s="31">
        <f t="shared" si="63"/>
        <v>32744.273014119091</v>
      </c>
      <c r="U38" s="31">
        <f>'[326]0508'!$E$111</f>
        <v>4526</v>
      </c>
      <c r="V38" s="32">
        <f t="shared" si="64"/>
        <v>6.2583850332550303E-2</v>
      </c>
      <c r="W38" s="31">
        <f>'[327]0608'!$E$110</f>
        <v>58685806.349999994</v>
      </c>
      <c r="X38" s="31">
        <f t="shared" si="41"/>
        <v>36874524.882186614</v>
      </c>
      <c r="Y38" s="31">
        <f>'[327]0608'!$E$111</f>
        <v>4560</v>
      </c>
      <c r="Z38" s="32">
        <f t="shared" si="42"/>
        <v>6.4888227761592213E-2</v>
      </c>
      <c r="AA38" s="31">
        <f>'[328]0708'!$E$110</f>
        <v>86382253.150000006</v>
      </c>
      <c r="AB38" s="31">
        <f t="shared" si="43"/>
        <v>55154037.25577832</v>
      </c>
      <c r="AC38" s="31">
        <f>'[328]0708'!$E$111</f>
        <v>6078</v>
      </c>
      <c r="AD38" s="32">
        <f t="shared" si="44"/>
        <v>9.0302347841914848E-2</v>
      </c>
      <c r="AE38" s="31">
        <f>'[329]0808'!$E$110</f>
        <v>136530403.59</v>
      </c>
      <c r="AF38" s="31">
        <f t="shared" si="45"/>
        <v>83555938.549571604</v>
      </c>
      <c r="AG38" s="31">
        <f>'[329]0808'!$E$111</f>
        <v>9057</v>
      </c>
      <c r="AH38" s="32">
        <f t="shared" si="46"/>
        <v>0.13599291818833337</v>
      </c>
      <c r="AI38" s="31">
        <f>'[330]0908'!$E$110</f>
        <v>212183121.72999996</v>
      </c>
      <c r="AJ38" s="31">
        <f t="shared" si="47"/>
        <v>110864267.58451328</v>
      </c>
      <c r="AK38" s="31">
        <f>'[330]0908'!$E$111</f>
        <v>12706</v>
      </c>
      <c r="AL38" s="32">
        <f t="shared" si="48"/>
        <v>0.19758060741184366</v>
      </c>
      <c r="AM38" s="31">
        <f>'[331]1008'!$E$110</f>
        <v>217423435.13999999</v>
      </c>
      <c r="AN38" s="31">
        <f t="shared" si="49"/>
        <v>102805539.33519314</v>
      </c>
      <c r="AO38" s="31">
        <f>'[331]1008'!$E$111</f>
        <v>12750</v>
      </c>
      <c r="AP38" s="32">
        <f t="shared" si="50"/>
        <v>0.19911865264101908</v>
      </c>
      <c r="AQ38" s="31">
        <f>'[332]1108'!$E$110</f>
        <v>231284776.67999998</v>
      </c>
      <c r="AR38" s="31">
        <f t="shared" si="51"/>
        <v>99148959.00887382</v>
      </c>
      <c r="AS38" s="31">
        <f>'[332]1108'!$E$111</f>
        <v>12756</v>
      </c>
      <c r="AT38" s="32">
        <f t="shared" si="52"/>
        <v>0.2114269458143051</v>
      </c>
      <c r="AU38" s="31">
        <f>'[333]1208'!$E$110</f>
        <v>231846314.66000006</v>
      </c>
      <c r="AV38" s="31">
        <f t="shared" si="53"/>
        <v>99223792.972695395</v>
      </c>
      <c r="AW38" s="31">
        <f>'[333]1208'!$E$111</f>
        <v>12757</v>
      </c>
      <c r="AX38" s="33">
        <f t="shared" si="54"/>
        <v>0.2173519005838562</v>
      </c>
      <c r="AY38" s="28"/>
    </row>
    <row r="39" spans="1:51" s="22" customFormat="1" ht="30" customHeight="1">
      <c r="A39" s="29">
        <v>33</v>
      </c>
      <c r="B39" s="38" t="s">
        <v>52</v>
      </c>
      <c r="C39" s="31">
        <f>[334]Abel1!$D$111</f>
        <v>88239762.139999986</v>
      </c>
      <c r="D39" s="31">
        <f t="shared" si="55"/>
        <v>49802326.526696004</v>
      </c>
      <c r="E39" s="31">
        <f>[334]Abel1!$D$112</f>
        <v>405</v>
      </c>
      <c r="F39" s="32">
        <f t="shared" si="56"/>
        <v>0.13153959027369949</v>
      </c>
      <c r="G39" s="31">
        <f>[335]Abel1!$D$111</f>
        <v>96018121.460000008</v>
      </c>
      <c r="H39" s="31">
        <f t="shared" si="57"/>
        <v>55034172.900785245</v>
      </c>
      <c r="I39" s="31">
        <f>[335]Abel1!$D$112</f>
        <v>427</v>
      </c>
      <c r="J39" s="32">
        <f t="shared" si="58"/>
        <v>0.13490216178872366</v>
      </c>
      <c r="K39" s="31">
        <f>[336]Abel1!$D$111</f>
        <v>102898464.94999999</v>
      </c>
      <c r="L39" s="31">
        <f t="shared" si="59"/>
        <v>58732000.542237438</v>
      </c>
      <c r="M39" s="31">
        <f>[336]Abel1!$D$112</f>
        <v>460</v>
      </c>
      <c r="N39" s="32">
        <f t="shared" si="60"/>
        <v>0.13532357750450083</v>
      </c>
      <c r="O39" s="31">
        <f>[337]Abel1!$D$111</f>
        <v>109769269.17</v>
      </c>
      <c r="P39" s="31">
        <f t="shared" si="61"/>
        <v>66046491.678700365</v>
      </c>
      <c r="Q39" s="31">
        <f>[337]Abel1!$D$112</f>
        <v>477</v>
      </c>
      <c r="R39" s="32">
        <f t="shared" si="62"/>
        <v>0.13478898650338292</v>
      </c>
      <c r="S39" s="31">
        <f>[338]Abel1!$D$111</f>
        <v>118066069.89999998</v>
      </c>
      <c r="T39" s="31">
        <f t="shared" si="63"/>
        <v>72477.63652547574</v>
      </c>
      <c r="U39" s="31">
        <f>[338]Abel1!$D$112</f>
        <v>497</v>
      </c>
      <c r="V39" s="32">
        <f t="shared" si="64"/>
        <v>0.13852588984985234</v>
      </c>
      <c r="W39" s="31">
        <f>[339]Abel1!$D$111</f>
        <v>127209371.94999999</v>
      </c>
      <c r="X39" s="31">
        <f t="shared" si="41"/>
        <v>79930488.187244728</v>
      </c>
      <c r="Y39" s="31">
        <f>[339]Abel1!$D$112</f>
        <v>519</v>
      </c>
      <c r="Z39" s="32">
        <f t="shared" si="42"/>
        <v>0.14065395389256163</v>
      </c>
      <c r="AA39" s="31">
        <f>[340]Abel1!$D$111</f>
        <v>130220937.57000001</v>
      </c>
      <c r="AB39" s="31">
        <f t="shared" si="43"/>
        <v>83144513.836036265</v>
      </c>
      <c r="AC39" s="31">
        <f>[340]Abel1!$D$112</f>
        <v>544</v>
      </c>
      <c r="AD39" s="32">
        <f t="shared" si="44"/>
        <v>0.13613046629296469</v>
      </c>
      <c r="AE39" s="31">
        <f>[341]Abel1!$D$111</f>
        <v>131909581.08</v>
      </c>
      <c r="AF39" s="31">
        <f t="shared" si="45"/>
        <v>80728017.796817631</v>
      </c>
      <c r="AG39" s="31">
        <f>[341]Abel1!$D$112</f>
        <v>559</v>
      </c>
      <c r="AH39" s="32">
        <f t="shared" si="46"/>
        <v>0.13139028667885419</v>
      </c>
      <c r="AI39" s="31">
        <f>[342]Abel1!$D$111</f>
        <v>148568993.88</v>
      </c>
      <c r="AJ39" s="31">
        <f t="shared" si="47"/>
        <v>77626309.566853017</v>
      </c>
      <c r="AK39" s="31">
        <f>[342]Abel1!$D$112</f>
        <v>606</v>
      </c>
      <c r="AL39" s="32">
        <f t="shared" si="48"/>
        <v>0.13834442539086536</v>
      </c>
      <c r="AM39" s="31">
        <f>[343]Abel1!$D$111</f>
        <v>145563117.42000002</v>
      </c>
      <c r="AN39" s="31">
        <f t="shared" si="49"/>
        <v>68827423.244597867</v>
      </c>
      <c r="AO39" s="31">
        <f>[343]Abel1!$D$112</f>
        <v>605</v>
      </c>
      <c r="AP39" s="32">
        <f t="shared" si="50"/>
        <v>0.13330822317398172</v>
      </c>
      <c r="AQ39" s="31">
        <f>[344]Abel1!$D$111</f>
        <v>147965173.09999999</v>
      </c>
      <c r="AR39" s="31">
        <f t="shared" si="51"/>
        <v>63430862.562695585</v>
      </c>
      <c r="AS39" s="31">
        <f>[344]Abel1!$D$112</f>
        <v>606</v>
      </c>
      <c r="AT39" s="32">
        <f t="shared" si="52"/>
        <v>0.13526106250694364</v>
      </c>
      <c r="AU39" s="31">
        <f>[345]Abel1!$D$111</f>
        <v>142575394.00999999</v>
      </c>
      <c r="AV39" s="31">
        <f t="shared" si="53"/>
        <v>61018314.649490714</v>
      </c>
      <c r="AW39" s="31">
        <f>[345]Abel1!$D$112</f>
        <v>597</v>
      </c>
      <c r="AX39" s="33">
        <f t="shared" si="54"/>
        <v>0.13366196012220727</v>
      </c>
      <c r="AY39" s="28"/>
    </row>
    <row r="40" spans="1:51" s="22" customFormat="1" ht="30" customHeight="1">
      <c r="A40" s="29">
        <v>34</v>
      </c>
      <c r="B40" s="38" t="s">
        <v>53</v>
      </c>
      <c r="C40" s="31">
        <f>[346]Plan1!$D$111</f>
        <v>7720311.9300000016</v>
      </c>
      <c r="D40" s="31">
        <f t="shared" si="55"/>
        <v>4357326.9725702684</v>
      </c>
      <c r="E40" s="31">
        <f>[346]Plan1!$D$112</f>
        <v>202</v>
      </c>
      <c r="F40" s="32">
        <f t="shared" si="56"/>
        <v>1.1508719464204061E-2</v>
      </c>
      <c r="G40" s="31">
        <f>[347]Plan1!$D$111</f>
        <v>16503467.250000002</v>
      </c>
      <c r="H40" s="31">
        <f t="shared" si="57"/>
        <v>9459200.5788960867</v>
      </c>
      <c r="I40" s="31">
        <f>[347]Plan1!$D$112</f>
        <v>459</v>
      </c>
      <c r="J40" s="32">
        <f t="shared" si="58"/>
        <v>2.3186804482129706E-2</v>
      </c>
      <c r="K40" s="31">
        <f>[348]Plan1!$D$111</f>
        <v>29242627.719999995</v>
      </c>
      <c r="L40" s="31">
        <f t="shared" si="59"/>
        <v>16690997.557077622</v>
      </c>
      <c r="M40" s="31">
        <f>[348]Plan1!$D$112</f>
        <v>844</v>
      </c>
      <c r="N40" s="32">
        <f t="shared" si="60"/>
        <v>3.8457493030878143E-2</v>
      </c>
      <c r="O40" s="31">
        <f>[349]Plan1!$D$111</f>
        <v>45322537.449999988</v>
      </c>
      <c r="P40" s="31">
        <f t="shared" si="61"/>
        <v>27269878.128760524</v>
      </c>
      <c r="Q40" s="31">
        <f>[349]Plan1!$D$112</f>
        <v>1294</v>
      </c>
      <c r="R40" s="32">
        <f t="shared" si="62"/>
        <v>5.5652906636247348E-2</v>
      </c>
      <c r="S40" s="31">
        <f>[350]Plan1!$D$111</f>
        <v>63552764.720000021</v>
      </c>
      <c r="T40" s="31">
        <f t="shared" si="63"/>
        <v>39013.360785758145</v>
      </c>
      <c r="U40" s="31">
        <f>[350]Plan1!$D$112</f>
        <v>1767</v>
      </c>
      <c r="V40" s="32">
        <f t="shared" si="64"/>
        <v>7.4565904435651142E-2</v>
      </c>
      <c r="W40" s="31">
        <f>[351]Plan1!$D$111</f>
        <v>76177544.629999965</v>
      </c>
      <c r="X40" s="31">
        <f t="shared" si="41"/>
        <v>47865249.531888135</v>
      </c>
      <c r="Y40" s="31">
        <f>[351]Plan1!$D$112</f>
        <v>2188</v>
      </c>
      <c r="Z40" s="32">
        <f t="shared" si="42"/>
        <v>8.4228643580191581E-2</v>
      </c>
      <c r="AA40" s="31">
        <f>[352]Plan1!$D$111</f>
        <v>93212246.490000024</v>
      </c>
      <c r="AB40" s="31">
        <f t="shared" si="43"/>
        <v>59514906.455114305</v>
      </c>
      <c r="AC40" s="31">
        <f>[352]Plan1!$D$112</f>
        <v>2724</v>
      </c>
      <c r="AD40" s="32">
        <f t="shared" si="44"/>
        <v>9.7442291659722555E-2</v>
      </c>
      <c r="AE40" s="31">
        <f>[353]Plan1!$D$111</f>
        <v>105301266.62</v>
      </c>
      <c r="AF40" s="31">
        <f t="shared" si="45"/>
        <v>64443859.620563045</v>
      </c>
      <c r="AG40" s="31">
        <f>[353]Plan1!$D$112</f>
        <v>3133</v>
      </c>
      <c r="AH40" s="32">
        <f t="shared" si="46"/>
        <v>0.10488672237126827</v>
      </c>
      <c r="AI40" s="31">
        <f>[354]Plan1!$D$111</f>
        <v>121898226.29999998</v>
      </c>
      <c r="AJ40" s="31">
        <f t="shared" si="47"/>
        <v>63691011.181357428</v>
      </c>
      <c r="AK40" s="31">
        <f>[354]Plan1!$D$112</f>
        <v>3735</v>
      </c>
      <c r="AL40" s="32">
        <f t="shared" si="48"/>
        <v>0.11350914907090418</v>
      </c>
      <c r="AM40" s="31">
        <f>[355]Plan1!$D$111</f>
        <v>133747973.88000003</v>
      </c>
      <c r="AN40" s="31">
        <f t="shared" si="49"/>
        <v>63240802.818100162</v>
      </c>
      <c r="AO40" s="31">
        <f>[355]Plan1!$D$112</f>
        <v>4174</v>
      </c>
      <c r="AP40" s="32">
        <f t="shared" si="50"/>
        <v>0.12248779132435071</v>
      </c>
      <c r="AQ40" s="31">
        <f>[356]Plan1!$D$111</f>
        <v>131060548.94</v>
      </c>
      <c r="AR40" s="31">
        <f t="shared" si="51"/>
        <v>56184056.646804132</v>
      </c>
      <c r="AS40" s="31">
        <f>[356]Plan1!$D$112</f>
        <v>4232</v>
      </c>
      <c r="AT40" s="32">
        <f t="shared" si="52"/>
        <v>0.11980784890770815</v>
      </c>
      <c r="AU40" s="31">
        <f>[357]Plan1!$D$111</f>
        <v>127769821.30000003</v>
      </c>
      <c r="AV40" s="31">
        <f t="shared" si="53"/>
        <v>54681940.126679808</v>
      </c>
      <c r="AW40" s="31">
        <f>[268]Plan1!$D$112</f>
        <v>1342</v>
      </c>
      <c r="AX40" s="33">
        <f t="shared" si="54"/>
        <v>0.11978199238379332</v>
      </c>
      <c r="AY40" s="28"/>
    </row>
    <row r="41" spans="1:51" s="22" customFormat="1" ht="30" customHeight="1">
      <c r="A41" s="29">
        <v>35</v>
      </c>
      <c r="B41" s="38" t="s">
        <v>54</v>
      </c>
      <c r="C41" s="31">
        <f>[358]QUADRO2!$D$111</f>
        <v>18768822.57</v>
      </c>
      <c r="D41" s="31">
        <f t="shared" si="55"/>
        <v>10593081.933626819</v>
      </c>
      <c r="E41" s="31">
        <f>[358]QUADRO2!$D$112</f>
        <v>66</v>
      </c>
      <c r="F41" s="32">
        <f t="shared" si="56"/>
        <v>2.7978806502906607E-2</v>
      </c>
      <c r="G41" s="36">
        <f>[358]QUADRO2!$D$111</f>
        <v>18768822.57</v>
      </c>
      <c r="H41" s="36">
        <f t="shared" si="57"/>
        <v>10757621.694274088</v>
      </c>
      <c r="I41" s="36">
        <f>[358]QUADRO2!$D$112</f>
        <v>66</v>
      </c>
      <c r="J41" s="37">
        <f t="shared" si="58"/>
        <v>2.6369550876672487E-2</v>
      </c>
      <c r="K41" s="31">
        <f>[359]QUADRO2!$D$111</f>
        <v>25502469.739999998</v>
      </c>
      <c r="L41" s="31">
        <f t="shared" si="59"/>
        <v>14556204.189497717</v>
      </c>
      <c r="M41" s="31">
        <f>[359]QUADRO2!$D$112</f>
        <v>75</v>
      </c>
      <c r="N41" s="32">
        <f t="shared" si="60"/>
        <v>3.3538745617770045E-2</v>
      </c>
      <c r="O41" s="31">
        <f>[360]QUADRO2!$D$111</f>
        <v>32265884.219999991</v>
      </c>
      <c r="P41" s="31">
        <f t="shared" si="61"/>
        <v>19413889.422382668</v>
      </c>
      <c r="Q41" s="31">
        <f>[360]QUADRO2!$D$112</f>
        <v>83</v>
      </c>
      <c r="R41" s="32">
        <f t="shared" si="62"/>
        <v>3.9620249506388275E-2</v>
      </c>
      <c r="S41" s="31">
        <f>[361]QUADRO2!$D$111</f>
        <v>40771704.899999999</v>
      </c>
      <c r="T41" s="31">
        <f t="shared" si="63"/>
        <v>25028.670902394108</v>
      </c>
      <c r="U41" s="31">
        <f>[361]QUADRO2!$D$112</f>
        <v>91</v>
      </c>
      <c r="V41" s="32">
        <f t="shared" si="64"/>
        <v>4.7837085682209929E-2</v>
      </c>
      <c r="W41" s="31">
        <f>[362]QUADRO2!$D$111</f>
        <v>46627382.419999994</v>
      </c>
      <c r="X41" s="31">
        <f t="shared" si="41"/>
        <v>29297758.353754319</v>
      </c>
      <c r="Y41" s="31">
        <f>[362]QUADRO2!$D$112</f>
        <v>99</v>
      </c>
      <c r="Z41" s="32">
        <f t="shared" si="42"/>
        <v>5.1555365744681808E-2</v>
      </c>
      <c r="AA41" s="31">
        <f>[363]QUADRO2!$D$111</f>
        <v>55072068.280000001</v>
      </c>
      <c r="AB41" s="31">
        <f t="shared" si="43"/>
        <v>35162858.051334441</v>
      </c>
      <c r="AC41" s="31">
        <f>[363]QUADRO2!$D$112</f>
        <v>116</v>
      </c>
      <c r="AD41" s="32">
        <f t="shared" si="44"/>
        <v>5.7571282119239849E-2</v>
      </c>
      <c r="AE41" s="31">
        <f>[364]QUADRO2!$D$111</f>
        <v>75394731.950000003</v>
      </c>
      <c r="AF41" s="31">
        <f t="shared" si="45"/>
        <v>46141206.823745415</v>
      </c>
      <c r="AG41" s="31">
        <f>[364]QUADRO2!$D$112</f>
        <v>155</v>
      </c>
      <c r="AH41" s="32">
        <f t="shared" si="46"/>
        <v>7.509792210603744E-2</v>
      </c>
      <c r="AI41" s="31">
        <f>[365]QUADRO2!$D$111</f>
        <v>88607525.969999999</v>
      </c>
      <c r="AJ41" s="31">
        <f t="shared" si="47"/>
        <v>46296842.03458906</v>
      </c>
      <c r="AK41" s="31">
        <f>[365]QUADRO2!$D$112</f>
        <v>191</v>
      </c>
      <c r="AL41" s="32">
        <f t="shared" si="48"/>
        <v>8.2509526015414586E-2</v>
      </c>
      <c r="AM41" s="31">
        <f>[366]QUADRO2!$D$111</f>
        <v>101946849.55</v>
      </c>
      <c r="AN41" s="31">
        <f t="shared" si="49"/>
        <v>48204099.271833181</v>
      </c>
      <c r="AO41" s="31">
        <f>[366]QUADRO2!$D$112</f>
        <v>219</v>
      </c>
      <c r="AP41" s="32">
        <f t="shared" si="50"/>
        <v>9.3363989536462466E-2</v>
      </c>
      <c r="AQ41" s="31">
        <f>[367]QUADRO2!$D$111</f>
        <v>112760212.29000002</v>
      </c>
      <c r="AR41" s="31">
        <f t="shared" si="51"/>
        <v>48338925.832726032</v>
      </c>
      <c r="AS41" s="31">
        <f>[367]QUADRO2!$D$112</f>
        <v>216</v>
      </c>
      <c r="AT41" s="32">
        <f t="shared" si="52"/>
        <v>0.10307875700281206</v>
      </c>
      <c r="AU41" s="31">
        <f>[368]QUADRO2!$D$111</f>
        <v>115818638.51000001</v>
      </c>
      <c r="AV41" s="31">
        <f t="shared" si="53"/>
        <v>49567165.329966627</v>
      </c>
      <c r="AW41" s="31">
        <f>[368]QUADRO2!$D$112</f>
        <v>217</v>
      </c>
      <c r="AX41" s="33">
        <f t="shared" si="54"/>
        <v>0.10857796571017142</v>
      </c>
      <c r="AY41" s="28"/>
    </row>
    <row r="42" spans="1:51" s="22" customFormat="1" ht="30" customHeight="1">
      <c r="A42" s="29">
        <v>36</v>
      </c>
      <c r="B42" s="38" t="s">
        <v>55</v>
      </c>
      <c r="C42" s="36">
        <v>17725000</v>
      </c>
      <c r="D42" s="31">
        <f t="shared" si="55"/>
        <v>10003950.784512924</v>
      </c>
      <c r="E42" s="54">
        <v>578</v>
      </c>
      <c r="F42" s="32">
        <f t="shared" si="56"/>
        <v>2.6422773374004969E-2</v>
      </c>
      <c r="G42" s="36">
        <v>17725000</v>
      </c>
      <c r="H42" s="36">
        <f t="shared" si="57"/>
        <v>10159339.714564109</v>
      </c>
      <c r="I42" s="54">
        <v>578</v>
      </c>
      <c r="J42" s="37">
        <f t="shared" si="58"/>
        <v>2.4903016028086401E-2</v>
      </c>
      <c r="K42" s="36">
        <v>17725000</v>
      </c>
      <c r="L42" s="36">
        <f t="shared" si="59"/>
        <v>10117009.132420091</v>
      </c>
      <c r="M42" s="54">
        <v>578</v>
      </c>
      <c r="N42" s="37">
        <f t="shared" si="60"/>
        <v>2.3310458639327618E-2</v>
      </c>
      <c r="O42" s="36">
        <v>17725000</v>
      </c>
      <c r="P42" s="36">
        <f t="shared" si="61"/>
        <v>10664861.612515043</v>
      </c>
      <c r="Q42" s="54">
        <v>578</v>
      </c>
      <c r="R42" s="37">
        <f t="shared" si="62"/>
        <v>2.1765060511356796E-2</v>
      </c>
      <c r="S42" s="36">
        <v>17725000</v>
      </c>
      <c r="T42" s="36">
        <f t="shared" si="63"/>
        <v>10880.908532842235</v>
      </c>
      <c r="U42" s="54">
        <v>578</v>
      </c>
      <c r="V42" s="37">
        <f t="shared" si="64"/>
        <v>2.0796587873792124E-2</v>
      </c>
      <c r="W42" s="36">
        <v>115862827</v>
      </c>
      <c r="X42" s="36">
        <f t="shared" si="41"/>
        <v>72801022.306000635</v>
      </c>
      <c r="Y42" s="54">
        <v>578</v>
      </c>
      <c r="Z42" s="37">
        <f t="shared" si="42"/>
        <v>0.12810820835689099</v>
      </c>
      <c r="AA42" s="36">
        <v>115862827</v>
      </c>
      <c r="AB42" s="36">
        <f t="shared" si="43"/>
        <v>73977031.669007793</v>
      </c>
      <c r="AC42" s="54">
        <f>$Y$45</f>
        <v>302</v>
      </c>
      <c r="AD42" s="37">
        <f t="shared" si="44"/>
        <v>0.12112077335530351</v>
      </c>
      <c r="AE42" s="36">
        <v>18768823</v>
      </c>
      <c r="AF42" s="36">
        <f t="shared" si="45"/>
        <v>11486427.784577724</v>
      </c>
      <c r="AG42" s="54">
        <f>$Y$45</f>
        <v>302</v>
      </c>
      <c r="AH42" s="37">
        <f t="shared" si="46"/>
        <v>1.8694934927426372E-2</v>
      </c>
      <c r="AI42" s="36">
        <v>18768823</v>
      </c>
      <c r="AJ42" s="36">
        <f t="shared" si="47"/>
        <v>9806584.9835414607</v>
      </c>
      <c r="AK42" s="54">
        <v>578</v>
      </c>
      <c r="AL42" s="37">
        <f t="shared" si="48"/>
        <v>1.7477146242876999E-2</v>
      </c>
      <c r="AM42" s="31">
        <v>96111408</v>
      </c>
      <c r="AN42" s="31">
        <f t="shared" si="49"/>
        <v>45444894.794080101</v>
      </c>
      <c r="AO42" s="49">
        <v>1011</v>
      </c>
      <c r="AP42" s="32">
        <f t="shared" si="50"/>
        <v>8.8019831220440839E-2</v>
      </c>
      <c r="AQ42" s="36">
        <v>96111408</v>
      </c>
      <c r="AR42" s="36">
        <f t="shared" si="51"/>
        <v>41201786.770694904</v>
      </c>
      <c r="AS42" s="54">
        <v>1011</v>
      </c>
      <c r="AT42" s="37">
        <f t="shared" si="52"/>
        <v>8.7859398889307702E-2</v>
      </c>
      <c r="AU42" s="36">
        <v>96111408</v>
      </c>
      <c r="AV42" s="36">
        <f t="shared" si="53"/>
        <v>41133017.204485156</v>
      </c>
      <c r="AW42" s="54">
        <v>1011</v>
      </c>
      <c r="AX42" s="51">
        <f t="shared" si="54"/>
        <v>9.0102778761980237E-2</v>
      </c>
      <c r="AY42" s="43" t="s">
        <v>27</v>
      </c>
    </row>
    <row r="43" spans="1:51" s="22" customFormat="1" ht="30" customHeight="1">
      <c r="A43" s="29">
        <v>37</v>
      </c>
      <c r="B43" s="38" t="s">
        <v>56</v>
      </c>
      <c r="C43" s="31">
        <f>'[369]2 quadro'!$G$95</f>
        <v>62041516.699999988</v>
      </c>
      <c r="D43" s="31">
        <f t="shared" si="55"/>
        <v>35016094.762388527</v>
      </c>
      <c r="E43" s="49">
        <f>'[369]2 quadro'!$G$96</f>
        <v>169</v>
      </c>
      <c r="F43" s="32">
        <f t="shared" si="56"/>
        <v>9.2485694529965842E-2</v>
      </c>
      <c r="G43" s="31">
        <f>'[370]2quadro'!$G$95</f>
        <v>61510004</v>
      </c>
      <c r="H43" s="31">
        <f t="shared" si="57"/>
        <v>35255347.051068954</v>
      </c>
      <c r="I43" s="49">
        <f>'[370]2quadro'!$G$96</f>
        <v>169</v>
      </c>
      <c r="J43" s="32">
        <f t="shared" si="58"/>
        <v>8.6419442341306552E-2</v>
      </c>
      <c r="K43" s="31">
        <f>'[371]2quadro'!$G$95</f>
        <v>66851048.600000009</v>
      </c>
      <c r="L43" s="31">
        <f t="shared" si="59"/>
        <v>38156991.210045666</v>
      </c>
      <c r="M43" s="49">
        <f>'[371]2quadro'!$G$96</f>
        <v>178</v>
      </c>
      <c r="N43" s="32">
        <f t="shared" si="60"/>
        <v>8.791698749709341E-2</v>
      </c>
      <c r="O43" s="36">
        <f>'[371]2quadro'!$G$95</f>
        <v>66851048.600000009</v>
      </c>
      <c r="P43" s="36">
        <f t="shared" si="61"/>
        <v>40223254.271961503</v>
      </c>
      <c r="Q43" s="54">
        <f>'[371]2quadro'!$G$96</f>
        <v>178</v>
      </c>
      <c r="R43" s="37">
        <f t="shared" si="62"/>
        <v>8.208841286469136E-2</v>
      </c>
      <c r="S43" s="36">
        <f>'[371]2quadro'!$G$95</f>
        <v>66851048.600000009</v>
      </c>
      <c r="T43" s="36">
        <f t="shared" si="63"/>
        <v>41038.089993861271</v>
      </c>
      <c r="U43" s="54">
        <f>'[371]2quadro'!$G$96</f>
        <v>178</v>
      </c>
      <c r="V43" s="37">
        <f t="shared" si="64"/>
        <v>7.8435752139071835E-2</v>
      </c>
      <c r="W43" s="31">
        <f>'[372]2quadro'!$G$95</f>
        <v>87543845.199999988</v>
      </c>
      <c r="X43" s="31">
        <f t="shared" si="41"/>
        <v>55007128.620797984</v>
      </c>
      <c r="Y43" s="49">
        <f>'[372]2quadro'!$G$96</f>
        <v>194</v>
      </c>
      <c r="Z43" s="32">
        <f t="shared" si="42"/>
        <v>9.6796232679917354E-2</v>
      </c>
      <c r="AA43" s="36">
        <f>W43</f>
        <v>87543845.199999988</v>
      </c>
      <c r="AB43" s="36">
        <f t="shared" si="43"/>
        <v>55895699.910611659</v>
      </c>
      <c r="AC43" s="54">
        <f>Y43</f>
        <v>194</v>
      </c>
      <c r="AD43" s="37">
        <f t="shared" si="44"/>
        <v>9.151665385413886E-2</v>
      </c>
      <c r="AE43" s="36">
        <v>87543845.199999988</v>
      </c>
      <c r="AF43" s="36">
        <f t="shared" si="45"/>
        <v>53576404.651162788</v>
      </c>
      <c r="AG43" s="54">
        <v>194</v>
      </c>
      <c r="AH43" s="37">
        <f t="shared" si="46"/>
        <v>8.7199207393595587E-2</v>
      </c>
      <c r="AI43" s="36">
        <v>87543845.199999988</v>
      </c>
      <c r="AJ43" s="36">
        <f t="shared" si="47"/>
        <v>45741075.918282039</v>
      </c>
      <c r="AK43" s="54">
        <v>194</v>
      </c>
      <c r="AL43" s="37">
        <f t="shared" si="48"/>
        <v>8.1519048116346207E-2</v>
      </c>
      <c r="AM43" s="36">
        <v>87543845.199999988</v>
      </c>
      <c r="AN43" s="36">
        <f t="shared" si="49"/>
        <v>41393846.139297359</v>
      </c>
      <c r="AO43" s="54">
        <v>194</v>
      </c>
      <c r="AP43" s="37">
        <f t="shared" si="50"/>
        <v>8.0173567729778739E-2</v>
      </c>
      <c r="AQ43" s="36">
        <v>87543845.199999988</v>
      </c>
      <c r="AR43" s="36">
        <f t="shared" si="51"/>
        <v>37528977.236678518</v>
      </c>
      <c r="AS43" s="54">
        <v>194</v>
      </c>
      <c r="AT43" s="37">
        <f t="shared" si="52"/>
        <v>8.0027436656953402E-2</v>
      </c>
      <c r="AU43" s="36">
        <v>87543845.199999988</v>
      </c>
      <c r="AV43" s="36">
        <f t="shared" si="53"/>
        <v>37466337.926902331</v>
      </c>
      <c r="AW43" s="54">
        <v>194</v>
      </c>
      <c r="AX43" s="51">
        <f t="shared" si="54"/>
        <v>8.2070837168764038E-2</v>
      </c>
      <c r="AY43" s="43" t="s">
        <v>27</v>
      </c>
    </row>
    <row r="44" spans="1:51" s="22" customFormat="1" ht="30" customHeight="1">
      <c r="A44" s="29">
        <v>38</v>
      </c>
      <c r="B44" s="38" t="s">
        <v>57</v>
      </c>
      <c r="C44" s="36">
        <f>'[373]Abel 0907'!$D$111</f>
        <v>115862827.38999997</v>
      </c>
      <c r="D44" s="31">
        <f t="shared" si="55"/>
        <v>65392723.439440101</v>
      </c>
      <c r="E44" s="36">
        <f>'[373]Abel 0907'!$D$112</f>
        <v>422</v>
      </c>
      <c r="F44" s="32">
        <f t="shared" si="56"/>
        <v>0.17271747422270381</v>
      </c>
      <c r="G44" s="36">
        <f>'[373]Abel 0907'!$D$111</f>
        <v>115862827.38999997</v>
      </c>
      <c r="H44" s="36">
        <f t="shared" si="57"/>
        <v>66408452.679543748</v>
      </c>
      <c r="I44" s="36">
        <f>'[373]Abel 0907'!$D$112</f>
        <v>422</v>
      </c>
      <c r="J44" s="37">
        <f t="shared" si="58"/>
        <v>0.16278329182243031</v>
      </c>
      <c r="K44" s="36">
        <v>247533027</v>
      </c>
      <c r="L44" s="36">
        <f t="shared" si="59"/>
        <v>141285974.31506848</v>
      </c>
      <c r="M44" s="36">
        <f>'[373]Abel 0907'!$D$112</f>
        <v>422</v>
      </c>
      <c r="N44" s="37">
        <f t="shared" si="60"/>
        <v>0.32553502892812786</v>
      </c>
      <c r="O44" s="31">
        <f>'[374]Abel 0408'!$D$111</f>
        <v>172833615.96000001</v>
      </c>
      <c r="P44" s="31">
        <f t="shared" si="61"/>
        <v>103991345.3429603</v>
      </c>
      <c r="Q44" s="31">
        <f>'[374]Abel 0408'!$D$112</f>
        <v>582</v>
      </c>
      <c r="R44" s="32">
        <f t="shared" si="62"/>
        <v>0.21222759434504945</v>
      </c>
      <c r="S44" s="50">
        <f>'[374]Abel 0408'!$D$111</f>
        <v>172833615.96000001</v>
      </c>
      <c r="T44" s="36">
        <f t="shared" si="63"/>
        <v>106097.98401473297</v>
      </c>
      <c r="U44" s="36">
        <f>'[374]Abel 0408'!$D$112</f>
        <v>582</v>
      </c>
      <c r="V44" s="37">
        <f t="shared" si="64"/>
        <v>0.20278417387065623</v>
      </c>
      <c r="W44" s="50">
        <f>'[374]Abel 0408'!$D$111</f>
        <v>172833615.96000001</v>
      </c>
      <c r="X44" s="36">
        <f t="shared" si="41"/>
        <v>108597936.51272386</v>
      </c>
      <c r="Y44" s="36">
        <f>'[374]Abel 0408'!$D$112</f>
        <v>582</v>
      </c>
      <c r="Z44" s="37">
        <f t="shared" si="42"/>
        <v>0.19110016092114307</v>
      </c>
      <c r="AA44" s="36">
        <v>66359707</v>
      </c>
      <c r="AB44" s="36">
        <f t="shared" si="43"/>
        <v>42369880.602732725</v>
      </c>
      <c r="AC44" s="36">
        <v>2561</v>
      </c>
      <c r="AD44" s="37">
        <f t="shared" si="44"/>
        <v>6.9371162775713632E-2</v>
      </c>
      <c r="AE44" s="36">
        <v>66359707</v>
      </c>
      <c r="AF44" s="36">
        <f t="shared" si="45"/>
        <v>40611815.78947369</v>
      </c>
      <c r="AG44" s="36">
        <v>6078</v>
      </c>
      <c r="AH44" s="37">
        <f t="shared" si="46"/>
        <v>6.6098465746524449E-2</v>
      </c>
      <c r="AI44" s="36">
        <v>66359707</v>
      </c>
      <c r="AJ44" s="36">
        <f t="shared" si="47"/>
        <v>34672504.833063379</v>
      </c>
      <c r="AK44" s="36">
        <v>6078</v>
      </c>
      <c r="AL44" s="37">
        <f t="shared" si="48"/>
        <v>6.1792809483762964E-2</v>
      </c>
      <c r="AM44" s="36">
        <v>66359707</v>
      </c>
      <c r="AN44" s="36">
        <f t="shared" si="49"/>
        <v>31377231.547590904</v>
      </c>
      <c r="AO44" s="36">
        <v>6078</v>
      </c>
      <c r="AP44" s="37">
        <f t="shared" si="50"/>
        <v>6.0772912722055913E-2</v>
      </c>
      <c r="AQ44" s="36">
        <v>66359707</v>
      </c>
      <c r="AR44" s="36">
        <f t="shared" si="51"/>
        <v>28447595.918892272</v>
      </c>
      <c r="AS44" s="36">
        <v>6078</v>
      </c>
      <c r="AT44" s="37">
        <f t="shared" si="52"/>
        <v>6.0662142911178496E-2</v>
      </c>
      <c r="AU44" s="36">
        <v>66359707</v>
      </c>
      <c r="AV44" s="36">
        <f t="shared" si="53"/>
        <v>28400114.268595397</v>
      </c>
      <c r="AW44" s="36">
        <v>6078</v>
      </c>
      <c r="AX44" s="51">
        <f t="shared" si="54"/>
        <v>6.2211074865647906E-2</v>
      </c>
      <c r="AY44" s="43" t="s">
        <v>27</v>
      </c>
    </row>
    <row r="45" spans="1:51" s="22" customFormat="1" ht="30" customHeight="1">
      <c r="A45" s="29">
        <v>39</v>
      </c>
      <c r="B45" s="38" t="s">
        <v>58</v>
      </c>
      <c r="C45" s="31">
        <f>[375]abel1!$F$30</f>
        <v>31440410.919999994</v>
      </c>
      <c r="D45" s="31">
        <f t="shared" si="55"/>
        <v>17744898.363246411</v>
      </c>
      <c r="E45" s="49">
        <f>[375]abel1!$F$31</f>
        <v>245</v>
      </c>
      <c r="F45" s="32">
        <f t="shared" si="56"/>
        <v>4.6868426094485244E-2</v>
      </c>
      <c r="G45" s="31">
        <f>[376]abel1!$F$30</f>
        <v>31141961.720000003</v>
      </c>
      <c r="H45" s="31">
        <f t="shared" si="57"/>
        <v>17849465.077090621</v>
      </c>
      <c r="I45" s="49">
        <f>[376]abel1!$F$31</f>
        <v>250</v>
      </c>
      <c r="J45" s="32">
        <f t="shared" si="58"/>
        <v>4.3753386282607235E-2</v>
      </c>
      <c r="K45" s="36">
        <f>[376]abel1!$F$30</f>
        <v>31141961.720000003</v>
      </c>
      <c r="L45" s="36">
        <f t="shared" si="59"/>
        <v>17775092.305936076</v>
      </c>
      <c r="M45" s="54">
        <f>[376]abel1!$F$31</f>
        <v>250</v>
      </c>
      <c r="N45" s="37">
        <f t="shared" si="60"/>
        <v>4.095534051461687E-2</v>
      </c>
      <c r="O45" s="31">
        <f>[377]abel1!$F$30</f>
        <v>32445285.530000001</v>
      </c>
      <c r="P45" s="31">
        <f t="shared" si="61"/>
        <v>19521832.448856801</v>
      </c>
      <c r="Q45" s="49">
        <f>[377]abel1!$F$31</f>
        <v>281</v>
      </c>
      <c r="R45" s="32">
        <f t="shared" si="62"/>
        <v>3.9840541769743248E-2</v>
      </c>
      <c r="S45" s="31">
        <f>[378]abel1!$F$30</f>
        <v>32120331.009999998</v>
      </c>
      <c r="T45" s="31">
        <f t="shared" si="63"/>
        <v>19717.821368937999</v>
      </c>
      <c r="U45" s="49">
        <f>[378]abel1!$F$31</f>
        <v>287</v>
      </c>
      <c r="V45" s="32">
        <f t="shared" si="64"/>
        <v>3.7686504168392393E-2</v>
      </c>
      <c r="W45" s="31">
        <f>[379]abel1!$F$30</f>
        <v>32239899.650000006</v>
      </c>
      <c r="X45" s="31">
        <f t="shared" si="41"/>
        <v>20257555.545083258</v>
      </c>
      <c r="Y45" s="49">
        <f>[379]abel1!$F$31</f>
        <v>302</v>
      </c>
      <c r="Z45" s="32">
        <f t="shared" si="42"/>
        <v>3.5647289891929335E-2</v>
      </c>
      <c r="AA45" s="31">
        <f>[380]abel1!$F$30</f>
        <v>35986276.000000007</v>
      </c>
      <c r="AB45" s="31">
        <f t="shared" si="43"/>
        <v>22976807.559698638</v>
      </c>
      <c r="AC45" s="49">
        <f>[380]abel1!$F$31</f>
        <v>309</v>
      </c>
      <c r="AD45" s="32">
        <f t="shared" si="44"/>
        <v>3.7619361551547492E-2</v>
      </c>
      <c r="AE45" s="31">
        <f>[381]abel1!$F$30</f>
        <v>35019852.009999998</v>
      </c>
      <c r="AF45" s="31">
        <f t="shared" si="45"/>
        <v>21431977.974296205</v>
      </c>
      <c r="AG45" s="49">
        <f>[381]abel1!$F$31</f>
        <v>312</v>
      </c>
      <c r="AH45" s="32">
        <f t="shared" si="46"/>
        <v>3.4881987778085578E-2</v>
      </c>
      <c r="AI45" s="31">
        <f>[382]abel1!$F$30</f>
        <v>33720222.490000002</v>
      </c>
      <c r="AJ45" s="31">
        <f t="shared" si="47"/>
        <v>17618591.613981925</v>
      </c>
      <c r="AK45" s="49">
        <f>[382]abel1!$F$31</f>
        <v>310</v>
      </c>
      <c r="AL45" s="32">
        <f t="shared" si="48"/>
        <v>3.1399585354930357E-2</v>
      </c>
      <c r="AM45" s="31">
        <f>[383]abel1!$F$30</f>
        <v>32778296.490000002</v>
      </c>
      <c r="AN45" s="31">
        <f t="shared" si="49"/>
        <v>15498745.326020144</v>
      </c>
      <c r="AO45" s="49">
        <f>[383]abel1!$F$31</f>
        <v>303</v>
      </c>
      <c r="AP45" s="32">
        <f t="shared" si="50"/>
        <v>3.0018706257464965E-2</v>
      </c>
      <c r="AQ45" s="31">
        <f>[384]abel1!$F$30</f>
        <v>30963044.030000005</v>
      </c>
      <c r="AR45" s="31">
        <f t="shared" si="51"/>
        <v>13273478.814249584</v>
      </c>
      <c r="AS45" s="49">
        <f>[384]abel1!$F$31</f>
        <v>299</v>
      </c>
      <c r="AT45" s="32">
        <f t="shared" si="52"/>
        <v>2.8304594562374615E-2</v>
      </c>
      <c r="AU45" s="31">
        <f>[385]abel1!$F$30</f>
        <v>29168771.509999998</v>
      </c>
      <c r="AV45" s="31">
        <f t="shared" si="53"/>
        <v>12483425.280321835</v>
      </c>
      <c r="AW45" s="49">
        <f>[385]abel1!$F$31</f>
        <v>295</v>
      </c>
      <c r="AX45" s="33">
        <f t="shared" si="54"/>
        <v>2.7345217605430169E-2</v>
      </c>
      <c r="AY45" s="43"/>
    </row>
    <row r="46" spans="1:51" ht="30" customHeight="1">
      <c r="A46" s="13"/>
      <c r="B46" s="14" t="s">
        <v>59</v>
      </c>
      <c r="C46" s="15">
        <f>SUM(C27:C45)+C26+C15</f>
        <v>67082284471.463013</v>
      </c>
      <c r="D46" s="15">
        <f t="shared" ref="D46:AX46" si="65">SUM(D27:D45)+D26+D15</f>
        <v>37861092940.209396</v>
      </c>
      <c r="E46" s="15">
        <f t="shared" si="65"/>
        <v>2635086</v>
      </c>
      <c r="F46" s="15">
        <f t="shared" si="65"/>
        <v>99.999999999999972</v>
      </c>
      <c r="G46" s="15">
        <f t="shared" si="65"/>
        <v>71176117704.013</v>
      </c>
      <c r="H46" s="15">
        <f t="shared" si="65"/>
        <v>40795619707.693588</v>
      </c>
      <c r="I46" s="15">
        <f t="shared" si="65"/>
        <v>2833931</v>
      </c>
      <c r="J46" s="15">
        <f t="shared" si="65"/>
        <v>100.00000000000001</v>
      </c>
      <c r="K46" s="15">
        <f t="shared" si="65"/>
        <v>76038829927.162994</v>
      </c>
      <c r="L46" s="15">
        <f t="shared" si="65"/>
        <v>43401158634.225456</v>
      </c>
      <c r="M46" s="15">
        <f t="shared" si="65"/>
        <v>2986031</v>
      </c>
      <c r="N46" s="15">
        <f t="shared" si="65"/>
        <v>100.00000000000001</v>
      </c>
      <c r="O46" s="15">
        <f t="shared" si="65"/>
        <v>81437862259.796005</v>
      </c>
      <c r="P46" s="15">
        <f t="shared" si="65"/>
        <v>48999917123.82431</v>
      </c>
      <c r="Q46" s="15">
        <f t="shared" si="65"/>
        <v>3169335</v>
      </c>
      <c r="R46" s="15">
        <f t="shared" si="65"/>
        <v>100</v>
      </c>
      <c r="S46" s="15">
        <f t="shared" si="65"/>
        <v>85230327722.833115</v>
      </c>
      <c r="T46" s="15">
        <f t="shared" si="65"/>
        <v>52320643.169326663</v>
      </c>
      <c r="U46" s="15">
        <f t="shared" si="65"/>
        <v>3377631</v>
      </c>
      <c r="V46" s="15">
        <f t="shared" si="65"/>
        <v>100.00000000000001</v>
      </c>
      <c r="W46" s="15">
        <f t="shared" si="65"/>
        <v>90441376462.953003</v>
      </c>
      <c r="X46" s="15">
        <f t="shared" si="65"/>
        <v>56827757752.405273</v>
      </c>
      <c r="Y46" s="15">
        <f t="shared" si="65"/>
        <v>3585723</v>
      </c>
      <c r="Z46" s="15">
        <f t="shared" si="65"/>
        <v>100</v>
      </c>
      <c r="AA46" s="15">
        <f t="shared" si="65"/>
        <v>95658922735.013</v>
      </c>
      <c r="AB46" s="15">
        <f t="shared" si="65"/>
        <v>61077080024.909332</v>
      </c>
      <c r="AC46" s="15">
        <f t="shared" si="65"/>
        <v>3783981</v>
      </c>
      <c r="AD46" s="15">
        <f t="shared" si="65"/>
        <v>100</v>
      </c>
      <c r="AE46" s="15">
        <f t="shared" si="65"/>
        <v>100395230434.66299</v>
      </c>
      <c r="AF46" s="15">
        <f t="shared" si="65"/>
        <v>61441389494.897797</v>
      </c>
      <c r="AG46" s="15">
        <f t="shared" si="65"/>
        <v>3895232</v>
      </c>
      <c r="AH46" s="15">
        <f t="shared" si="65"/>
        <v>100</v>
      </c>
      <c r="AI46" s="15">
        <f t="shared" si="65"/>
        <v>107390661720.013</v>
      </c>
      <c r="AJ46" s="15">
        <f t="shared" si="65"/>
        <v>56110905334.663773</v>
      </c>
      <c r="AK46" s="15">
        <f t="shared" si="65"/>
        <v>4108377</v>
      </c>
      <c r="AL46" s="15">
        <f t="shared" si="65"/>
        <v>100</v>
      </c>
      <c r="AM46" s="15">
        <f t="shared" si="65"/>
        <v>109192901948.75999</v>
      </c>
      <c r="AN46" s="15">
        <f t="shared" si="65"/>
        <v>51630290769.662872</v>
      </c>
      <c r="AO46" s="15" t="e">
        <f t="shared" si="65"/>
        <v>#NAME?</v>
      </c>
      <c r="AP46" s="15">
        <f t="shared" si="65"/>
        <v>100</v>
      </c>
      <c r="AQ46" s="15">
        <f t="shared" si="65"/>
        <v>109392289515.99002</v>
      </c>
      <c r="AR46" s="15">
        <f t="shared" si="65"/>
        <v>46895138473.009811</v>
      </c>
      <c r="AS46" s="15" t="e">
        <f t="shared" si="65"/>
        <v>#NAME?</v>
      </c>
      <c r="AT46" s="15">
        <f t="shared" si="65"/>
        <v>99.999999999999972</v>
      </c>
      <c r="AU46" s="15">
        <f t="shared" si="65"/>
        <v>106668639214.66</v>
      </c>
      <c r="AV46" s="15">
        <f t="shared" si="65"/>
        <v>45651219384.858345</v>
      </c>
      <c r="AW46" s="15" t="e">
        <f t="shared" si="65"/>
        <v>#NAME?</v>
      </c>
      <c r="AX46" s="19">
        <f t="shared" si="65"/>
        <v>99.999999999999986</v>
      </c>
      <c r="AY46" s="20"/>
    </row>
    <row r="47" spans="1:51" s="22" customFormat="1" ht="18">
      <c r="A47" s="55" t="s">
        <v>60</v>
      </c>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row>
    <row r="48" spans="1:51" s="22" customFormat="1" ht="18">
      <c r="A48" s="65" t="s">
        <v>61</v>
      </c>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7"/>
    </row>
    <row r="49" spans="1:51" s="22" customFormat="1" ht="18">
      <c r="A49" s="55" t="s">
        <v>62</v>
      </c>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row>
    <row r="50" spans="1:51" s="22" customFormat="1" ht="18">
      <c r="A50" s="55" t="s">
        <v>63</v>
      </c>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row>
    <row r="64" spans="1:51">
      <c r="A64" s="2" t="s">
        <v>64</v>
      </c>
      <c r="B64" s="2">
        <v>2.2067999999999999</v>
      </c>
    </row>
    <row r="65" spans="1:2">
      <c r="A65" s="2" t="s">
        <v>65</v>
      </c>
      <c r="B65" s="2">
        <v>2.3403</v>
      </c>
    </row>
    <row r="66" spans="1:2">
      <c r="A66" s="2" t="s">
        <v>66</v>
      </c>
      <c r="B66" s="68">
        <v>2.2155999999999998</v>
      </c>
    </row>
    <row r="67" spans="1:2">
      <c r="A67" s="2" t="s">
        <v>67</v>
      </c>
      <c r="B67" s="2">
        <v>2.1351</v>
      </c>
    </row>
    <row r="68" spans="1:2">
      <c r="A68" s="2" t="s">
        <v>68</v>
      </c>
      <c r="B68" s="69">
        <v>2.1720000000000002</v>
      </c>
    </row>
    <row r="69" spans="1:2">
      <c r="A69" s="2" t="s">
        <v>69</v>
      </c>
      <c r="B69" s="2">
        <v>2.0888</v>
      </c>
    </row>
    <row r="70" spans="1:2">
      <c r="A70" s="2" t="s">
        <v>70</v>
      </c>
      <c r="B70" s="2">
        <v>2.2311000000000001</v>
      </c>
    </row>
    <row r="71" spans="1:2">
      <c r="A71" s="2" t="s">
        <v>71</v>
      </c>
      <c r="B71" s="2">
        <v>2.1638999999999999</v>
      </c>
    </row>
    <row r="72" spans="1:2">
      <c r="A72" s="2" t="s">
        <v>72</v>
      </c>
      <c r="B72" s="2">
        <v>2.1758000000000002</v>
      </c>
    </row>
    <row r="73" spans="1:2">
      <c r="A73" s="2" t="s">
        <v>73</v>
      </c>
      <c r="B73" s="2">
        <v>2.1383999999999999</v>
      </c>
    </row>
    <row r="74" spans="1:2">
      <c r="A74" s="2" t="s">
        <v>74</v>
      </c>
      <c r="B74" s="2">
        <v>2.1738</v>
      </c>
    </row>
    <row r="75" spans="1:2">
      <c r="A75" s="2" t="s">
        <v>75</v>
      </c>
      <c r="B75" s="2">
        <v>2.1425999999999998</v>
      </c>
    </row>
    <row r="76" spans="1:2">
      <c r="A76" s="2" t="s">
        <v>76</v>
      </c>
      <c r="B76" s="2">
        <v>2.1663999999999999</v>
      </c>
    </row>
    <row r="77" spans="1:2">
      <c r="A77" s="2" t="s">
        <v>77</v>
      </c>
      <c r="B77" s="2">
        <v>2.1375999999999999</v>
      </c>
    </row>
    <row r="78" spans="1:2">
      <c r="A78" s="2" t="s">
        <v>78</v>
      </c>
      <c r="B78" s="2">
        <v>2.1242999999999999</v>
      </c>
    </row>
    <row r="79" spans="1:2">
      <c r="A79" s="2" t="s">
        <v>79</v>
      </c>
      <c r="B79" s="2">
        <v>2.1177999999999999</v>
      </c>
    </row>
    <row r="80" spans="1:2">
      <c r="A80" s="2" t="s">
        <v>80</v>
      </c>
      <c r="B80" s="69">
        <v>2.0499999999999998</v>
      </c>
    </row>
    <row r="81" spans="1:2">
      <c r="A81" s="70">
        <v>39173</v>
      </c>
      <c r="B81" s="2">
        <v>2.0339</v>
      </c>
    </row>
    <row r="82" spans="1:2">
      <c r="A82" s="70">
        <v>39203</v>
      </c>
      <c r="B82" s="2">
        <v>2.0264000000000002</v>
      </c>
    </row>
    <row r="83" spans="1:2">
      <c r="A83" s="70">
        <v>39234</v>
      </c>
      <c r="B83" s="2">
        <v>1.9052</v>
      </c>
    </row>
    <row r="84" spans="1:2">
      <c r="A84" s="70">
        <v>39264</v>
      </c>
      <c r="B84" s="69">
        <v>1.8772</v>
      </c>
    </row>
    <row r="85" spans="1:2">
      <c r="A85" s="70">
        <v>39295</v>
      </c>
      <c r="B85" s="2">
        <v>1.9773000000000001</v>
      </c>
    </row>
    <row r="86" spans="1:2">
      <c r="A86" t="s">
        <v>81</v>
      </c>
      <c r="B86" s="2">
        <v>1.8852</v>
      </c>
    </row>
    <row r="87" spans="1:2">
      <c r="A87" s="2" t="s">
        <v>82</v>
      </c>
      <c r="B87" s="2">
        <v>1.8221000000000001</v>
      </c>
    </row>
    <row r="88" spans="1:2">
      <c r="A88" s="2" t="s">
        <v>83</v>
      </c>
      <c r="B88" s="2">
        <v>1.7456</v>
      </c>
    </row>
    <row r="89" spans="1:2">
      <c r="A89" s="2" t="s">
        <v>84</v>
      </c>
      <c r="B89" s="2">
        <v>1.7884</v>
      </c>
    </row>
    <row r="90" spans="1:2">
      <c r="A90" s="2" t="s">
        <v>85</v>
      </c>
      <c r="B90" s="2">
        <v>1.7718</v>
      </c>
    </row>
    <row r="91" spans="1:2">
      <c r="A91" s="2" t="s">
        <v>86</v>
      </c>
      <c r="B91" s="2">
        <v>1.7446999999999999</v>
      </c>
    </row>
    <row r="92" spans="1:2">
      <c r="A92" s="2" t="s">
        <v>87</v>
      </c>
      <c r="B92" s="2">
        <v>1.752</v>
      </c>
    </row>
    <row r="93" spans="1:2">
      <c r="A93" s="2" t="s">
        <v>88</v>
      </c>
      <c r="B93" s="71">
        <v>1.6619999999999999</v>
      </c>
    </row>
    <row r="94" spans="1:2">
      <c r="A94" s="2" t="s">
        <v>89</v>
      </c>
      <c r="B94" s="72">
        <v>1629</v>
      </c>
    </row>
    <row r="95" spans="1:2">
      <c r="A95" s="2" t="s">
        <v>90</v>
      </c>
      <c r="B95" s="71">
        <v>1.5914999999999999</v>
      </c>
    </row>
    <row r="96" spans="1:2">
      <c r="A96" s="2" t="s">
        <v>91</v>
      </c>
      <c r="B96" s="73">
        <v>1.5662</v>
      </c>
    </row>
    <row r="97" spans="1:2">
      <c r="A97" s="2" t="s">
        <v>92</v>
      </c>
      <c r="B97" s="71">
        <v>1.6339999999999999</v>
      </c>
    </row>
    <row r="98" spans="1:2">
      <c r="A98" s="2" t="s">
        <v>93</v>
      </c>
      <c r="B98" s="69">
        <v>1.9138999999999999</v>
      </c>
    </row>
    <row r="99" spans="1:2">
      <c r="A99" s="2" t="s">
        <v>94</v>
      </c>
      <c r="B99" s="71">
        <v>2.1149</v>
      </c>
    </row>
    <row r="100" spans="1:2">
      <c r="A100" s="2" t="s">
        <v>95</v>
      </c>
      <c r="B100" s="71">
        <v>2.3327</v>
      </c>
    </row>
    <row r="101" spans="1:2">
      <c r="A101" s="2" t="s">
        <v>96</v>
      </c>
      <c r="B101" s="71">
        <v>2.3365999999999998</v>
      </c>
    </row>
    <row r="102" spans="1:2">
      <c r="A102" s="2"/>
      <c r="B102" s="2"/>
    </row>
    <row r="103" spans="1:2">
      <c r="A103" s="2"/>
      <c r="B103" s="2"/>
    </row>
    <row r="104" spans="1:2">
      <c r="A104" s="2"/>
      <c r="B104" s="2"/>
    </row>
  </sheetData>
  <sheetProtection password="8621" sheet="1"/>
  <mergeCells count="16">
    <mergeCell ref="A1:AY2"/>
    <mergeCell ref="A48:AY48"/>
    <mergeCell ref="AA3:AD3"/>
    <mergeCell ref="AI3:AL3"/>
    <mergeCell ref="AE3:AH3"/>
    <mergeCell ref="C3:F3"/>
    <mergeCell ref="G3:J3"/>
    <mergeCell ref="K3:N3"/>
    <mergeCell ref="O3:R3"/>
    <mergeCell ref="S3:V3"/>
    <mergeCell ref="B3:B4"/>
    <mergeCell ref="A3:A4"/>
    <mergeCell ref="AU3:AX3"/>
    <mergeCell ref="W3:Z3"/>
    <mergeCell ref="AM3:AP3"/>
    <mergeCell ref="AQ3:AT3"/>
  </mergeCells>
  <phoneticPr fontId="0" type="noConversion"/>
  <printOptions horizontalCentered="1"/>
  <pageMargins left="0" right="0" top="0.19685039370078741" bottom="0.19685039370078741" header="0.31496062992125984" footer="0.31496062992125984"/>
  <pageSetup paperSize="9" scale="37" orientation="landscape" r:id="rId1"/>
  <headerFooter alignWithMargins="0"/>
  <colBreaks count="1" manualBreakCount="1">
    <brk id="46" max="49" man="1"/>
  </colBreaks>
  <ignoredErrors>
    <ignoredError sqref="D15 F15 H15 J15 L15 N15 P15 R15 T15 V15 X15 Z15 AB15 AD15 AF15 AH15 AJ15 AL15 AN15 AP15 AR15 AT15 AV15 AX15 D26 AN26 AT26 AV26 AX26 F26 H26 J26" formula="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Abel Leasing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dc:creator>
  <cp:keywords/>
  <dc:description/>
  <cp:lastModifiedBy>X</cp:lastModifiedBy>
  <cp:revision/>
  <dcterms:created xsi:type="dcterms:W3CDTF">2005-03-01T12:13:40Z</dcterms:created>
  <dcterms:modified xsi:type="dcterms:W3CDTF">2017-05-18T20:38:33Z</dcterms:modified>
  <cp:category/>
  <cp:contentStatus/>
</cp:coreProperties>
</file>